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1295" windowHeight="4560" tabRatio="701" activeTab="3"/>
  </bookViews>
  <sheets>
    <sheet name="ستون میانی" sheetId="1" r:id="rId1"/>
    <sheet name="ستون کناری (لبه موازی با X)" sheetId="2" r:id="rId2"/>
    <sheet name="ستون کناری (لبه موازی با y)" sheetId="3" r:id="rId3"/>
    <sheet name="ستون گوشه" sheetId="5" r:id="rId4"/>
  </sheets>
  <calcPr calcId="124519"/>
</workbook>
</file>

<file path=xl/calcChain.xml><?xml version="1.0" encoding="utf-8"?>
<calcChain xmlns="http://schemas.openxmlformats.org/spreadsheetml/2006/main">
  <c r="B6" i="1"/>
  <c r="B7"/>
  <c r="B9"/>
  <c r="B8" i="2"/>
  <c r="B7"/>
  <c r="I26"/>
  <c r="H28"/>
  <c r="I28"/>
  <c r="J28"/>
  <c r="H37"/>
  <c r="I37"/>
  <c r="J37"/>
  <c r="C23" i="5"/>
  <c r="C22"/>
  <c r="B22"/>
  <c r="C21"/>
  <c r="B21"/>
  <c r="H23"/>
  <c r="I22"/>
  <c r="B9"/>
  <c r="H24" s="1"/>
  <c r="B8"/>
  <c r="I24" s="1"/>
  <c r="I33" s="1"/>
  <c r="I34"/>
  <c r="H34"/>
  <c r="B30"/>
  <c r="I25"/>
  <c r="H25"/>
  <c r="B28"/>
  <c r="B23"/>
  <c r="C23" i="3"/>
  <c r="B23"/>
  <c r="C22"/>
  <c r="B22"/>
  <c r="B21"/>
  <c r="B20"/>
  <c r="I25"/>
  <c r="B8"/>
  <c r="J25" s="1"/>
  <c r="B7"/>
  <c r="I27" s="1"/>
  <c r="I36" s="1"/>
  <c r="J37"/>
  <c r="I37"/>
  <c r="H37"/>
  <c r="B29"/>
  <c r="J28"/>
  <c r="I28"/>
  <c r="H28"/>
  <c r="B27"/>
  <c r="C22" i="2"/>
  <c r="C23"/>
  <c r="C21"/>
  <c r="C20"/>
  <c r="H27"/>
  <c r="B29"/>
  <c r="B27"/>
  <c r="B23"/>
  <c r="B28" i="1"/>
  <c r="B26"/>
  <c r="L42"/>
  <c r="K36"/>
  <c r="J36"/>
  <c r="I36"/>
  <c r="H36"/>
  <c r="K27"/>
  <c r="J27"/>
  <c r="I27"/>
  <c r="H27"/>
  <c r="H24"/>
  <c r="I36" i="2" l="1"/>
  <c r="I42" s="1"/>
  <c r="H29"/>
  <c r="J36"/>
  <c r="H36"/>
  <c r="I27"/>
  <c r="I29" s="1"/>
  <c r="J26"/>
  <c r="H26"/>
  <c r="H25"/>
  <c r="J27"/>
  <c r="J29" s="1"/>
  <c r="J25"/>
  <c r="H26" i="3"/>
  <c r="C20"/>
  <c r="C21"/>
  <c r="H27"/>
  <c r="H36" s="1"/>
  <c r="J27"/>
  <c r="J36" s="1"/>
  <c r="H25"/>
  <c r="J26"/>
  <c r="H22" i="5"/>
  <c r="I23"/>
  <c r="I26"/>
  <c r="B11"/>
  <c r="B12"/>
  <c r="B10" i="3"/>
  <c r="B11"/>
  <c r="I29"/>
  <c r="B10" i="2"/>
  <c r="B11"/>
  <c r="B20"/>
  <c r="B21"/>
  <c r="B22"/>
  <c r="J24" i="1"/>
  <c r="I25"/>
  <c r="K25"/>
  <c r="H26"/>
  <c r="I26"/>
  <c r="I28" s="1"/>
  <c r="J26"/>
  <c r="J28" s="1"/>
  <c r="K26"/>
  <c r="K28" s="1"/>
  <c r="H35"/>
  <c r="I35"/>
  <c r="J35"/>
  <c r="K35"/>
  <c r="B19"/>
  <c r="C19"/>
  <c r="C20"/>
  <c r="B20"/>
  <c r="B21"/>
  <c r="C21"/>
  <c r="B22"/>
  <c r="C22"/>
  <c r="B10"/>
  <c r="H30" i="2" l="1"/>
  <c r="H31"/>
  <c r="K29"/>
  <c r="J30"/>
  <c r="J31"/>
  <c r="I30"/>
  <c r="I31"/>
  <c r="K27"/>
  <c r="J29" i="3"/>
  <c r="J30" s="1"/>
  <c r="H33" i="5"/>
  <c r="J24"/>
  <c r="I28"/>
  <c r="I27"/>
  <c r="H26"/>
  <c r="I31" i="3"/>
  <c r="I30"/>
  <c r="K27"/>
  <c r="H29"/>
  <c r="K30" i="1"/>
  <c r="K29"/>
  <c r="J30"/>
  <c r="J29"/>
  <c r="I30"/>
  <c r="I29"/>
  <c r="L26"/>
  <c r="H28"/>
  <c r="K30" i="2" l="1"/>
  <c r="H32" s="1"/>
  <c r="J38" s="1"/>
  <c r="K31"/>
  <c r="H33" s="1"/>
  <c r="J31" i="3"/>
  <c r="B29" i="5"/>
  <c r="C28" s="1"/>
  <c r="B28" i="3"/>
  <c r="B28" i="2"/>
  <c r="C27" s="1"/>
  <c r="H28" i="5"/>
  <c r="J28" s="1"/>
  <c r="H27"/>
  <c r="J27" s="1"/>
  <c r="J26"/>
  <c r="H31" i="3"/>
  <c r="H30"/>
  <c r="K30" s="1"/>
  <c r="K29"/>
  <c r="C27"/>
  <c r="B27" i="1"/>
  <c r="C26" s="1"/>
  <c r="H30"/>
  <c r="L30" s="1"/>
  <c r="L28"/>
  <c r="H29"/>
  <c r="L29" s="1"/>
  <c r="I38" i="2" l="1"/>
  <c r="H38"/>
  <c r="H42" s="1"/>
  <c r="J42"/>
  <c r="I39"/>
  <c r="I41" s="1"/>
  <c r="J39"/>
  <c r="J41" s="1"/>
  <c r="H39"/>
  <c r="H41" s="1"/>
  <c r="I43"/>
  <c r="H31" i="1"/>
  <c r="K37" s="1"/>
  <c r="K41" s="1"/>
  <c r="K31" i="3"/>
  <c r="H33" s="1"/>
  <c r="H37" i="1"/>
  <c r="H41" s="1"/>
  <c r="H29" i="5"/>
  <c r="H30"/>
  <c r="H32" i="3"/>
  <c r="H32" i="1"/>
  <c r="K41" i="2" l="1"/>
  <c r="J43"/>
  <c r="K42"/>
  <c r="H43"/>
  <c r="K43" s="1"/>
  <c r="I37" i="1"/>
  <c r="I41" s="1"/>
  <c r="J37"/>
  <c r="J41" s="1"/>
  <c r="J38" i="3"/>
  <c r="I38"/>
  <c r="H38"/>
  <c r="I39"/>
  <c r="I41" s="1"/>
  <c r="H39"/>
  <c r="J39"/>
  <c r="I36" i="5"/>
  <c r="I38" s="1"/>
  <c r="H36"/>
  <c r="I35"/>
  <c r="H35"/>
  <c r="K38" i="1"/>
  <c r="K40" s="1"/>
  <c r="J38"/>
  <c r="J40" s="1"/>
  <c r="I38"/>
  <c r="I40" s="1"/>
  <c r="H38"/>
  <c r="H40" s="1"/>
  <c r="L41" l="1"/>
  <c r="I42" i="3"/>
  <c r="I43"/>
  <c r="H41"/>
  <c r="J41"/>
  <c r="H42"/>
  <c r="H43"/>
  <c r="J42"/>
  <c r="J43"/>
  <c r="L40" i="1"/>
  <c r="H40" i="5"/>
  <c r="H39"/>
  <c r="I40"/>
  <c r="I39"/>
  <c r="H38"/>
  <c r="J38" s="1"/>
  <c r="D20" i="1" l="1"/>
  <c r="K41" i="3"/>
  <c r="D22" i="1"/>
  <c r="D19"/>
  <c r="D21"/>
  <c r="J39" i="5"/>
  <c r="J40"/>
  <c r="K42" i="3"/>
  <c r="K43"/>
  <c r="D23" i="5" l="1"/>
  <c r="D22"/>
  <c r="D21"/>
  <c r="D21" i="3"/>
  <c r="D23"/>
  <c r="D22"/>
  <c r="D20"/>
  <c r="D20" i="2"/>
  <c r="D22"/>
  <c r="D23"/>
  <c r="D21"/>
  <c r="E19" i="1"/>
  <c r="B12" s="1"/>
  <c r="C12" s="1"/>
  <c r="E20" i="3" l="1"/>
  <c r="B13" s="1"/>
  <c r="C13" s="1"/>
  <c r="E21" i="5"/>
  <c r="B14" s="1"/>
  <c r="C14" s="1"/>
  <c r="E20" i="2"/>
  <c r="B13" s="1"/>
  <c r="C13" s="1"/>
</calcChain>
</file>

<file path=xl/comments1.xml><?xml version="1.0" encoding="utf-8"?>
<comments xmlns="http://schemas.openxmlformats.org/spreadsheetml/2006/main">
  <authors>
    <author>Parand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مختصات مرکز ستون (مبدا مختصات)</t>
        </r>
      </text>
    </comment>
    <comment ref="G24" authorId="0">
      <text>
        <r>
          <rPr>
            <b/>
            <sz val="8"/>
            <color indexed="81"/>
            <rFont val="Tahoma"/>
            <charset val="178"/>
          </rPr>
          <t>مختصات وجه ها</t>
        </r>
      </text>
    </comment>
    <comment ref="G31" authorId="0">
      <text>
        <r>
          <rPr>
            <b/>
            <sz val="8"/>
            <color indexed="81"/>
            <rFont val="Tahoma"/>
            <family val="2"/>
          </rPr>
          <t>مختصات مرکز مقطع بحرانی برش منگنه ای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Parand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مختصات مرکز ستون (مبدا مختصات)</t>
        </r>
      </text>
    </comment>
    <comment ref="G25" authorId="0">
      <text>
        <r>
          <rPr>
            <b/>
            <sz val="8"/>
            <color indexed="81"/>
            <rFont val="Tahoma"/>
            <charset val="178"/>
          </rPr>
          <t>مختصات وجه ها</t>
        </r>
      </text>
    </comment>
    <comment ref="G32" authorId="0">
      <text>
        <r>
          <rPr>
            <b/>
            <sz val="8"/>
            <color indexed="81"/>
            <rFont val="Tahoma"/>
            <family val="2"/>
          </rPr>
          <t>مختصات مرکز مقطع بحرانی برش منگنه ای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Parand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مختصات مرکز ستون (مبدا مختصات)</t>
        </r>
      </text>
    </comment>
    <comment ref="G25" authorId="0">
      <text>
        <r>
          <rPr>
            <b/>
            <sz val="8"/>
            <color indexed="81"/>
            <rFont val="Tahoma"/>
            <charset val="178"/>
          </rPr>
          <t>مختصات وجه ها</t>
        </r>
      </text>
    </comment>
    <comment ref="G32" authorId="0">
      <text>
        <r>
          <rPr>
            <b/>
            <sz val="8"/>
            <color indexed="81"/>
            <rFont val="Tahoma"/>
            <family val="2"/>
          </rPr>
          <t>مختصات مرکز مقطع بحرانی برش منگنه ای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Parand</author>
  </authors>
  <commentList>
    <comment ref="A17" authorId="0">
      <text>
        <r>
          <rPr>
            <b/>
            <sz val="8"/>
            <color indexed="81"/>
            <rFont val="Tahoma"/>
            <family val="2"/>
          </rPr>
          <t>مختصات مرکز ستون (مبدا مختصات)</t>
        </r>
      </text>
    </comment>
    <comment ref="G22" authorId="0">
      <text>
        <r>
          <rPr>
            <b/>
            <sz val="8"/>
            <color indexed="81"/>
            <rFont val="Tahoma"/>
            <charset val="178"/>
          </rPr>
          <t>مختصات وجه ها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مختصات مرکز مقطع بحرانی برش منگنه ای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<sst xmlns="http://schemas.openxmlformats.org/spreadsheetml/2006/main" count="283" uniqueCount="61">
  <si>
    <t>d (cm)</t>
  </si>
  <si>
    <t>D (cm)</t>
  </si>
  <si>
    <t>B (cm)</t>
  </si>
  <si>
    <t>gama vx</t>
  </si>
  <si>
    <t>LD (cm)</t>
  </si>
  <si>
    <t>LB (cm)</t>
  </si>
  <si>
    <t>gama vy</t>
  </si>
  <si>
    <t>Ld</t>
  </si>
  <si>
    <t>Ldx2</t>
  </si>
  <si>
    <t>Ldy2</t>
  </si>
  <si>
    <t>x2 (cm)</t>
  </si>
  <si>
    <t>y2 (cm)</t>
  </si>
  <si>
    <t>L (cm)</t>
  </si>
  <si>
    <t>وجه 1</t>
  </si>
  <si>
    <t>وجه 2</t>
  </si>
  <si>
    <t>وجه 3</t>
  </si>
  <si>
    <t>وجه 4</t>
  </si>
  <si>
    <t>پارامتر</t>
  </si>
  <si>
    <t>مجموع</t>
  </si>
  <si>
    <t>-</t>
  </si>
  <si>
    <t>x3 (cm)</t>
  </si>
  <si>
    <t>y3 (cm)</t>
  </si>
  <si>
    <t>x2-x3 (cm)</t>
  </si>
  <si>
    <t>y2-y3 (cm)</t>
  </si>
  <si>
    <t>موازی با</t>
  </si>
  <si>
    <t>Y</t>
  </si>
  <si>
    <t>X</t>
  </si>
  <si>
    <t>IXX</t>
  </si>
  <si>
    <t>IYY</t>
  </si>
  <si>
    <t>IXY</t>
  </si>
  <si>
    <t>خروجی تحلیل SAFE</t>
  </si>
  <si>
    <t>Vu (kg)</t>
  </si>
  <si>
    <t>Mux (kg.m)</t>
  </si>
  <si>
    <t>Muy (kg.m)</t>
  </si>
  <si>
    <t>POINT A</t>
  </si>
  <si>
    <t>POINT B</t>
  </si>
  <si>
    <t>POINT C</t>
  </si>
  <si>
    <t>POINT D</t>
  </si>
  <si>
    <t>X4 (cm)</t>
  </si>
  <si>
    <t>Y4 (cm)</t>
  </si>
  <si>
    <t>vu (kg/cm2)</t>
  </si>
  <si>
    <t>X1 (cm)</t>
  </si>
  <si>
    <t>Y1 (cm)</t>
  </si>
  <si>
    <t>INPUT</t>
  </si>
  <si>
    <t>vu max</t>
  </si>
  <si>
    <t>f'c (kg/cm2)</t>
  </si>
  <si>
    <t>Øvc min</t>
  </si>
  <si>
    <t>Ratio</t>
  </si>
  <si>
    <r>
      <rPr>
        <sz val="11"/>
        <color theme="1"/>
        <rFont val="Calibri"/>
        <family val="2"/>
      </rPr>
      <t>Ø</t>
    </r>
    <r>
      <rPr>
        <sz val="11"/>
        <color theme="1"/>
        <rFont val="Arial"/>
        <family val="2"/>
        <charset val="178"/>
      </rPr>
      <t>vc1(kg/cm2)</t>
    </r>
  </si>
  <si>
    <r>
      <rPr>
        <sz val="11"/>
        <color theme="1"/>
        <rFont val="Calibri"/>
        <family val="2"/>
      </rPr>
      <t>Ø</t>
    </r>
    <r>
      <rPr>
        <sz val="11"/>
        <color theme="1"/>
        <rFont val="Arial"/>
        <family val="2"/>
        <charset val="178"/>
      </rPr>
      <t>vc2(kg/cm2)</t>
    </r>
  </si>
  <si>
    <r>
      <rPr>
        <sz val="11"/>
        <color theme="1"/>
        <rFont val="Calibri"/>
        <family val="2"/>
      </rPr>
      <t>Ø</t>
    </r>
    <r>
      <rPr>
        <sz val="11"/>
        <color theme="1"/>
        <rFont val="Arial"/>
        <family val="2"/>
        <charset val="178"/>
      </rPr>
      <t>vc3(kg/cm2)</t>
    </r>
  </si>
  <si>
    <r>
      <rPr>
        <sz val="11"/>
        <rFont val="Calibri"/>
        <family val="2"/>
      </rPr>
      <t>Ø</t>
    </r>
    <r>
      <rPr>
        <sz val="11"/>
        <rFont val="Arial"/>
        <family val="2"/>
        <charset val="178"/>
      </rPr>
      <t>vc1(kg/cm2)</t>
    </r>
  </si>
  <si>
    <r>
      <rPr>
        <sz val="11"/>
        <rFont val="Calibri"/>
        <family val="2"/>
      </rPr>
      <t>Ø</t>
    </r>
    <r>
      <rPr>
        <sz val="11"/>
        <rFont val="Arial"/>
        <family val="2"/>
        <charset val="178"/>
      </rPr>
      <t>vc2(kg/cm2)</t>
    </r>
  </si>
  <si>
    <r>
      <rPr>
        <sz val="11"/>
        <rFont val="Calibri"/>
        <family val="2"/>
      </rPr>
      <t>Ø</t>
    </r>
    <r>
      <rPr>
        <sz val="11"/>
        <rFont val="Arial"/>
        <family val="2"/>
        <charset val="178"/>
      </rPr>
      <t>vc3(kg/cm2)</t>
    </r>
  </si>
  <si>
    <t>www.7civil.com</t>
  </si>
  <si>
    <t xml:space="preserve"> (cm) لبه ستون تا لبه فونداسیون </t>
  </si>
  <si>
    <t xml:space="preserve"> (cm) لبه ستون تا لبه فونداسیون در راستای D </t>
  </si>
  <si>
    <t xml:space="preserve"> (cm) لبه ستون تا لبه فونداسیون در راستای B </t>
  </si>
  <si>
    <t xml:space="preserve">d = عمق موثر فونداسيون  </t>
  </si>
  <si>
    <t>D = size of load</t>
  </si>
  <si>
    <t>B = size of load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</si>
</sst>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178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78"/>
    </font>
    <font>
      <sz val="11"/>
      <color rgb="FFFF0000"/>
      <name val="Calibri"/>
      <family val="2"/>
      <charset val="178"/>
      <scheme val="minor"/>
    </font>
    <font>
      <sz val="11"/>
      <color theme="1"/>
      <name val="Calibri"/>
      <family val="2"/>
    </font>
    <font>
      <sz val="11"/>
      <color theme="1"/>
      <name val="Arial"/>
      <family val="2"/>
      <charset val="178"/>
    </font>
    <font>
      <sz val="11"/>
      <name val="Calibri"/>
      <family val="2"/>
      <charset val="178"/>
      <scheme val="minor"/>
    </font>
    <font>
      <sz val="11"/>
      <name val="Arial"/>
      <family val="2"/>
      <charset val="178"/>
    </font>
    <font>
      <sz val="11"/>
      <name val="Calibri"/>
      <family val="2"/>
    </font>
    <font>
      <b/>
      <sz val="12"/>
      <name val="zar"/>
      <charset val="178"/>
    </font>
    <font>
      <b/>
      <sz val="14"/>
      <name val="Zar"/>
      <charset val="178"/>
    </font>
    <font>
      <sz val="12"/>
      <name val="Calibri"/>
      <family val="2"/>
      <charset val="178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3" xfId="0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center" vertical="center"/>
    </xf>
    <xf numFmtId="2" fontId="0" fillId="0" borderId="8" xfId="0" applyNumberForma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7" fillId="0" borderId="3" xfId="0" applyFont="1" applyBorder="1" applyAlignment="1" applyProtection="1">
      <alignment horizontal="center" vertical="center"/>
    </xf>
    <xf numFmtId="164" fontId="7" fillId="0" borderId="3" xfId="0" applyNumberFormat="1" applyFont="1" applyBorder="1" applyAlignment="1" applyProtection="1">
      <alignment horizontal="center" vertical="center"/>
    </xf>
    <xf numFmtId="2" fontId="7" fillId="0" borderId="0" xfId="0" applyNumberFormat="1" applyFont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2" fontId="7" fillId="0" borderId="8" xfId="0" applyNumberFormat="1" applyFont="1" applyBorder="1" applyAlignment="1" applyProtection="1">
      <alignment horizontal="center" vertical="center"/>
    </xf>
    <xf numFmtId="2" fontId="7" fillId="0" borderId="10" xfId="0" applyNumberFormat="1" applyFont="1" applyBorder="1" applyAlignment="1" applyProtection="1">
      <alignment horizontal="center" vertical="center"/>
    </xf>
    <xf numFmtId="2" fontId="7" fillId="0" borderId="11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2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readingOrder="2"/>
    </xf>
    <xf numFmtId="0" fontId="7" fillId="2" borderId="0" xfId="0" applyFont="1" applyFill="1" applyAlignment="1" applyProtection="1">
      <alignment horizontal="center" vertical="center"/>
    </xf>
    <xf numFmtId="2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2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123825</xdr:rowOff>
    </xdr:from>
    <xdr:to>
      <xdr:col>12</xdr:col>
      <xdr:colOff>75331</xdr:colOff>
      <xdr:row>53</xdr:row>
      <xdr:rowOff>104775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9575" y="123825"/>
          <a:ext cx="5314081" cy="417195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142874</xdr:rowOff>
    </xdr:from>
    <xdr:to>
      <xdr:col>12</xdr:col>
      <xdr:colOff>209550</xdr:colOff>
      <xdr:row>52</xdr:row>
      <xdr:rowOff>154869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025" y="142874"/>
          <a:ext cx="4933950" cy="4202995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200026</xdr:colOff>
      <xdr:row>0</xdr:row>
      <xdr:rowOff>133350</xdr:rowOff>
    </xdr:from>
    <xdr:to>
      <xdr:col>12</xdr:col>
      <xdr:colOff>0</xdr:colOff>
      <xdr:row>52</xdr:row>
      <xdr:rowOff>47625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76801" y="133350"/>
          <a:ext cx="5181599" cy="4105275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142875</xdr:rowOff>
    </xdr:from>
    <xdr:to>
      <xdr:col>11</xdr:col>
      <xdr:colOff>598214</xdr:colOff>
      <xdr:row>49</xdr:row>
      <xdr:rowOff>114300</xdr:rowOff>
    </xdr:to>
    <xdr:pic>
      <xdr:nvPicPr>
        <xdr:cNvPr id="51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00625" y="142875"/>
          <a:ext cx="4874939" cy="4352925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D49" sqref="D49"/>
    </sheetView>
  </sheetViews>
  <sheetFormatPr defaultColWidth="9.140625" defaultRowHeight="15"/>
  <cols>
    <col min="1" max="1" width="14.140625" style="18" bestFit="1" customWidth="1"/>
    <col min="2" max="2" width="12" style="18" bestFit="1" customWidth="1"/>
    <col min="3" max="3" width="11.85546875" style="18" bestFit="1" customWidth="1"/>
    <col min="4" max="4" width="12.42578125" style="18" bestFit="1" customWidth="1"/>
    <col min="5" max="5" width="10.42578125" style="18" bestFit="1" customWidth="1"/>
    <col min="6" max="6" width="9.140625" style="18" customWidth="1"/>
    <col min="7" max="7" width="11" style="18" customWidth="1"/>
    <col min="8" max="8" width="13.85546875" style="18" customWidth="1"/>
    <col min="9" max="9" width="12.42578125" style="18" customWidth="1"/>
    <col min="10" max="11" width="11.5703125" style="19" bestFit="1" customWidth="1"/>
    <col min="12" max="12" width="11.42578125" style="19" bestFit="1" customWidth="1"/>
    <col min="13" max="16384" width="9.140625" style="19"/>
  </cols>
  <sheetData>
    <row r="1" spans="1:5" ht="19.5" thickBot="1">
      <c r="A1" s="57" t="s">
        <v>54</v>
      </c>
      <c r="B1" s="58"/>
    </row>
    <row r="2" spans="1:5">
      <c r="A2" s="50" t="s">
        <v>43</v>
      </c>
      <c r="B2" s="50"/>
      <c r="D2" s="68" t="s">
        <v>30</v>
      </c>
      <c r="E2" s="68"/>
    </row>
    <row r="3" spans="1:5">
      <c r="A3" s="20" t="s">
        <v>0</v>
      </c>
      <c r="B3" s="34">
        <v>53</v>
      </c>
      <c r="D3" s="18" t="s">
        <v>31</v>
      </c>
      <c r="E3" s="44">
        <v>-40000</v>
      </c>
    </row>
    <row r="4" spans="1:5">
      <c r="A4" s="20" t="s">
        <v>1</v>
      </c>
      <c r="B4" s="34">
        <v>45</v>
      </c>
      <c r="D4" s="18" t="s">
        <v>32</v>
      </c>
      <c r="E4" s="44">
        <v>55000</v>
      </c>
    </row>
    <row r="5" spans="1:5">
      <c r="A5" s="20" t="s">
        <v>2</v>
      </c>
      <c r="B5" s="34">
        <v>45</v>
      </c>
      <c r="D5" s="18" t="s">
        <v>33</v>
      </c>
      <c r="E5" s="44">
        <v>65000</v>
      </c>
    </row>
    <row r="6" spans="1:5" hidden="1">
      <c r="A6" s="20" t="s">
        <v>4</v>
      </c>
      <c r="B6" s="20">
        <f>B4+B3</f>
        <v>98</v>
      </c>
    </row>
    <row r="7" spans="1:5" hidden="1">
      <c r="A7" s="20" t="s">
        <v>5</v>
      </c>
      <c r="B7" s="20">
        <f>B5+B3</f>
        <v>98</v>
      </c>
    </row>
    <row r="8" spans="1:5">
      <c r="A8" s="20" t="s">
        <v>45</v>
      </c>
      <c r="B8" s="34">
        <v>210</v>
      </c>
    </row>
    <row r="9" spans="1:5" hidden="1">
      <c r="A9" s="20" t="s">
        <v>3</v>
      </c>
      <c r="B9" s="21">
        <f>1-1/(1+2/3*SQRT(B6/B7))</f>
        <v>0.39999999999999991</v>
      </c>
    </row>
    <row r="10" spans="1:5" hidden="1">
      <c r="A10" s="20" t="s">
        <v>6</v>
      </c>
      <c r="B10" s="21">
        <f>1-1/(1+2/3*SQRT(B7/B6))</f>
        <v>0.39999999999999991</v>
      </c>
    </row>
    <row r="12" spans="1:5">
      <c r="A12" s="18" t="s">
        <v>47</v>
      </c>
      <c r="B12" s="47">
        <f>E19/C26</f>
        <v>0.86969180760093434</v>
      </c>
      <c r="C12" s="48" t="str">
        <f>IF(B12&lt;1,"OK","Not OK")</f>
        <v>OK</v>
      </c>
    </row>
    <row r="15" spans="1:5" hidden="1">
      <c r="A15" s="18" t="s">
        <v>41</v>
      </c>
      <c r="B15" s="18">
        <v>0</v>
      </c>
    </row>
    <row r="16" spans="1:5" hidden="1">
      <c r="A16" s="18" t="s">
        <v>42</v>
      </c>
      <c r="B16" s="18">
        <v>0</v>
      </c>
    </row>
    <row r="17" spans="1:12" hidden="1"/>
    <row r="18" spans="1:12" hidden="1">
      <c r="B18" s="35" t="s">
        <v>38</v>
      </c>
      <c r="C18" s="35" t="s">
        <v>39</v>
      </c>
      <c r="D18" s="35" t="s">
        <v>40</v>
      </c>
      <c r="E18" s="35" t="s">
        <v>44</v>
      </c>
    </row>
    <row r="19" spans="1:12" hidden="1">
      <c r="A19" s="35" t="s">
        <v>34</v>
      </c>
      <c r="B19" s="18">
        <f>-B7/2</f>
        <v>-49</v>
      </c>
      <c r="C19" s="18">
        <f>B6/2</f>
        <v>49</v>
      </c>
      <c r="D19" s="22">
        <f>E$3/(L$26*B$3)+(B$9*(E$4*100-E$3*(H$32-B$16))*(L$41*(C19-H$32)-L$42*(B19-H$31)))/(L$40*L$41-L$42^2)-(B$10*(E$5*100+E$3*(H$31-B$15))*(L$40*(B19-H$31)-L$42*(C19-H$32)))/(L$40*L$41-L$42^2)</f>
        <v>7.5047346624441058</v>
      </c>
      <c r="E19" s="51">
        <f>MAX(ABS(D19),ABS(D20),ABS(D21),ABS(D22))</f>
        <v>11.355331504954695</v>
      </c>
    </row>
    <row r="20" spans="1:12" hidden="1">
      <c r="A20" s="35" t="s">
        <v>35</v>
      </c>
      <c r="B20" s="18">
        <f>B7/2</f>
        <v>49</v>
      </c>
      <c r="C20" s="18">
        <f>B6/2</f>
        <v>49</v>
      </c>
      <c r="D20" s="22">
        <f>E$3/(L$26*B$3)+(B$9*(E$4*100-E$3*(H$32-B$16))*(L$41*(C20-H$32)-L$42*(B20-H$31)))/(L$40*L$41-L$42^2)-(B$10*(E$5*100+E$3*(H$31-B$15))*(L$40*(B20-H$31)-L$42*(C20-H$32)))/(L$40*L$41-L$42^2)</f>
        <v>-2.7111345115635785</v>
      </c>
      <c r="E20" s="52"/>
    </row>
    <row r="21" spans="1:12" hidden="1">
      <c r="A21" s="35" t="s">
        <v>36</v>
      </c>
      <c r="B21" s="18">
        <f>B7/2</f>
        <v>49</v>
      </c>
      <c r="C21" s="18">
        <f>-B6/2</f>
        <v>-49</v>
      </c>
      <c r="D21" s="22">
        <f>E$3/(L$26*B$3)+(B$9*(E$4*100-E$3*(H$32-B$16))*(L$41*(C21-H$32)-L$42*(B21-H$31)))/(L$40*L$41-L$42^2)-(B$10*(E$5*100+E$3*(H$31-B$15))*(L$40*(B21-H$31)-L$42*(C21-H$32)))/(L$40*L$41-L$42^2)</f>
        <v>-11.355331504954695</v>
      </c>
      <c r="E21" s="52"/>
    </row>
    <row r="22" spans="1:12" ht="15.75" hidden="1" thickBot="1">
      <c r="A22" s="35" t="s">
        <v>37</v>
      </c>
      <c r="B22" s="18">
        <f>-B7/2</f>
        <v>-49</v>
      </c>
      <c r="C22" s="18">
        <f>-B6/2</f>
        <v>-49</v>
      </c>
      <c r="D22" s="22">
        <f>E$3/(L$26*B$3)+(B$9*(E$4*100-E$3*(H$32-B$16))*(L$41*(C22-H$32)-L$42*(B22-H$31)))/(L$40*L$41-L$42^2)-(B$10*(E$5*100+E$3*(H$31-B$15))*(L$40*(B22-H$31)-L$42*(C22-H$32)))/(L$40*L$41-L$42^2)</f>
        <v>-1.1394623309470102</v>
      </c>
      <c r="E22" s="52"/>
    </row>
    <row r="23" spans="1:12" hidden="1">
      <c r="G23" s="36" t="s">
        <v>17</v>
      </c>
      <c r="H23" s="37" t="s">
        <v>13</v>
      </c>
      <c r="I23" s="37" t="s">
        <v>14</v>
      </c>
      <c r="J23" s="37" t="s">
        <v>15</v>
      </c>
      <c r="K23" s="37" t="s">
        <v>16</v>
      </c>
      <c r="L23" s="38" t="s">
        <v>18</v>
      </c>
    </row>
    <row r="24" spans="1:12" hidden="1">
      <c r="G24" s="39" t="s">
        <v>10</v>
      </c>
      <c r="H24" s="23">
        <f>-B7/2</f>
        <v>-49</v>
      </c>
      <c r="I24" s="23">
        <v>0</v>
      </c>
      <c r="J24" s="23">
        <f>B7/2</f>
        <v>49</v>
      </c>
      <c r="K24" s="23">
        <v>0</v>
      </c>
      <c r="L24" s="24" t="s">
        <v>19</v>
      </c>
    </row>
    <row r="25" spans="1:12" hidden="1">
      <c r="C25" s="18" t="s">
        <v>46</v>
      </c>
      <c r="G25" s="39" t="s">
        <v>11</v>
      </c>
      <c r="H25" s="23">
        <v>0</v>
      </c>
      <c r="I25" s="23">
        <f>B6/2</f>
        <v>49</v>
      </c>
      <c r="J25" s="23">
        <v>0</v>
      </c>
      <c r="K25" s="23">
        <f>-B6/2</f>
        <v>-49</v>
      </c>
      <c r="L25" s="24" t="s">
        <v>19</v>
      </c>
    </row>
    <row r="26" spans="1:12" hidden="1">
      <c r="A26" s="40" t="s">
        <v>51</v>
      </c>
      <c r="B26" s="18">
        <f>0.85*0.53*(1+2/(B4/B5))*SQRT(B8)</f>
        <v>19.585095672475028</v>
      </c>
      <c r="C26" s="52">
        <f>MIN(B26:B28)</f>
        <v>13.056730448316683</v>
      </c>
      <c r="G26" s="39" t="s">
        <v>12</v>
      </c>
      <c r="H26" s="23">
        <f>B6</f>
        <v>98</v>
      </c>
      <c r="I26" s="23">
        <f>B7</f>
        <v>98</v>
      </c>
      <c r="J26" s="23">
        <f>B6</f>
        <v>98</v>
      </c>
      <c r="K26" s="23">
        <f>B7</f>
        <v>98</v>
      </c>
      <c r="L26" s="24">
        <f>SUM(H26:K26)</f>
        <v>392</v>
      </c>
    </row>
    <row r="27" spans="1:12" hidden="1">
      <c r="A27" s="40" t="s">
        <v>52</v>
      </c>
      <c r="B27" s="18">
        <f>0.85*0.53*(20*B3/L26+1)*SQRT(B8)</f>
        <v>24.181597718055897</v>
      </c>
      <c r="C27" s="52"/>
      <c r="G27" s="39" t="s">
        <v>0</v>
      </c>
      <c r="H27" s="23">
        <f>B3</f>
        <v>53</v>
      </c>
      <c r="I27" s="23">
        <f>B3</f>
        <v>53</v>
      </c>
      <c r="J27" s="23">
        <f>B3</f>
        <v>53</v>
      </c>
      <c r="K27" s="23">
        <f>B3</f>
        <v>53</v>
      </c>
      <c r="L27" s="24" t="s">
        <v>19</v>
      </c>
    </row>
    <row r="28" spans="1:12" hidden="1">
      <c r="A28" s="40" t="s">
        <v>53</v>
      </c>
      <c r="B28" s="18">
        <f>0.85*1.06*SQRT(B8)</f>
        <v>13.056730448316683</v>
      </c>
      <c r="C28" s="52"/>
      <c r="G28" s="39" t="s">
        <v>7</v>
      </c>
      <c r="H28" s="23">
        <f>H27*H26</f>
        <v>5194</v>
      </c>
      <c r="I28" s="23">
        <f t="shared" ref="I28:K28" si="0">I27*I26</f>
        <v>5194</v>
      </c>
      <c r="J28" s="23">
        <f t="shared" si="0"/>
        <v>5194</v>
      </c>
      <c r="K28" s="23">
        <f t="shared" si="0"/>
        <v>5194</v>
      </c>
      <c r="L28" s="24">
        <f>SUM(H28:K28)</f>
        <v>20776</v>
      </c>
    </row>
    <row r="29" spans="1:12" hidden="1">
      <c r="G29" s="39" t="s">
        <v>8</v>
      </c>
      <c r="H29" s="23">
        <f>H28*H24</f>
        <v>-254506</v>
      </c>
      <c r="I29" s="23">
        <f t="shared" ref="I29:K29" si="1">I28*I24</f>
        <v>0</v>
      </c>
      <c r="J29" s="23">
        <f t="shared" si="1"/>
        <v>254506</v>
      </c>
      <c r="K29" s="23">
        <f t="shared" si="1"/>
        <v>0</v>
      </c>
      <c r="L29" s="24">
        <f>SUM(H29:K29)</f>
        <v>0</v>
      </c>
    </row>
    <row r="30" spans="1:12" ht="15.75" hidden="1" thickBot="1">
      <c r="G30" s="41" t="s">
        <v>9</v>
      </c>
      <c r="H30" s="25">
        <f>H28*H25</f>
        <v>0</v>
      </c>
      <c r="I30" s="25">
        <f t="shared" ref="I30:K30" si="2">I28*I25</f>
        <v>254506</v>
      </c>
      <c r="J30" s="25">
        <f t="shared" si="2"/>
        <v>0</v>
      </c>
      <c r="K30" s="25">
        <f t="shared" si="2"/>
        <v>-254506</v>
      </c>
      <c r="L30" s="26">
        <f>SUM(H30:K30)</f>
        <v>0</v>
      </c>
    </row>
    <row r="31" spans="1:12" hidden="1">
      <c r="G31" s="27" t="s">
        <v>20</v>
      </c>
      <c r="H31" s="27">
        <f>L29/L28</f>
        <v>0</v>
      </c>
      <c r="I31" s="42"/>
      <c r="J31" s="18"/>
      <c r="K31" s="18"/>
      <c r="L31" s="18"/>
    </row>
    <row r="32" spans="1:12" hidden="1">
      <c r="G32" s="27" t="s">
        <v>21</v>
      </c>
      <c r="H32" s="18">
        <f>L30/L28</f>
        <v>0</v>
      </c>
      <c r="J32" s="18"/>
      <c r="K32" s="18"/>
      <c r="L32" s="18"/>
    </row>
    <row r="33" spans="1:12" ht="15.75" hidden="1" thickBot="1"/>
    <row r="34" spans="1:12" hidden="1">
      <c r="G34" s="36" t="s">
        <v>17</v>
      </c>
      <c r="H34" s="37" t="s">
        <v>13</v>
      </c>
      <c r="I34" s="37" t="s">
        <v>14</v>
      </c>
      <c r="J34" s="37" t="s">
        <v>15</v>
      </c>
      <c r="K34" s="37" t="s">
        <v>16</v>
      </c>
      <c r="L34" s="38" t="s">
        <v>18</v>
      </c>
    </row>
    <row r="35" spans="1:12" hidden="1">
      <c r="G35" s="39" t="s">
        <v>12</v>
      </c>
      <c r="H35" s="23">
        <f>B6</f>
        <v>98</v>
      </c>
      <c r="I35" s="23">
        <f>B7</f>
        <v>98</v>
      </c>
      <c r="J35" s="23">
        <f>B6</f>
        <v>98</v>
      </c>
      <c r="K35" s="23">
        <f>B7</f>
        <v>98</v>
      </c>
      <c r="L35" s="23" t="s">
        <v>19</v>
      </c>
    </row>
    <row r="36" spans="1:12" hidden="1">
      <c r="G36" s="39" t="s">
        <v>0</v>
      </c>
      <c r="H36" s="23">
        <f>B3</f>
        <v>53</v>
      </c>
      <c r="I36" s="23">
        <f>B3</f>
        <v>53</v>
      </c>
      <c r="J36" s="23">
        <f>B3</f>
        <v>53</v>
      </c>
      <c r="K36" s="23">
        <f>B3</f>
        <v>53</v>
      </c>
      <c r="L36" s="23" t="s">
        <v>19</v>
      </c>
    </row>
    <row r="37" spans="1:12" hidden="1">
      <c r="G37" s="39" t="s">
        <v>22</v>
      </c>
      <c r="H37" s="23">
        <f>-B7/2-H31</f>
        <v>-49</v>
      </c>
      <c r="I37" s="23">
        <f>0-H31</f>
        <v>0</v>
      </c>
      <c r="J37" s="23">
        <f>B7/2-H31</f>
        <v>49</v>
      </c>
      <c r="K37" s="23">
        <f>0-H31</f>
        <v>0</v>
      </c>
      <c r="L37" s="23" t="s">
        <v>19</v>
      </c>
    </row>
    <row r="38" spans="1:12" hidden="1">
      <c r="G38" s="39" t="s">
        <v>23</v>
      </c>
      <c r="H38" s="23">
        <f>0-H32</f>
        <v>0</v>
      </c>
      <c r="I38" s="23">
        <f>B6/2-H32</f>
        <v>49</v>
      </c>
      <c r="J38" s="23">
        <f>0-H32</f>
        <v>0</v>
      </c>
      <c r="K38" s="23">
        <f>-B6/2-H32</f>
        <v>-49</v>
      </c>
      <c r="L38" s="23" t="s">
        <v>19</v>
      </c>
    </row>
    <row r="39" spans="1:12" hidden="1">
      <c r="G39" s="39" t="s">
        <v>24</v>
      </c>
      <c r="H39" s="23" t="s">
        <v>25</v>
      </c>
      <c r="I39" s="23" t="s">
        <v>26</v>
      </c>
      <c r="J39" s="23" t="s">
        <v>25</v>
      </c>
      <c r="K39" s="23" t="s">
        <v>26</v>
      </c>
      <c r="L39" s="23" t="s">
        <v>19</v>
      </c>
    </row>
    <row r="40" spans="1:12" hidden="1">
      <c r="G40" s="39" t="s">
        <v>27</v>
      </c>
      <c r="H40" s="23">
        <f>H35*H36*H38^2</f>
        <v>0</v>
      </c>
      <c r="I40" s="23">
        <f>I35*I36*I38^2</f>
        <v>12470794</v>
      </c>
      <c r="J40" s="23">
        <f t="shared" ref="J40:K40" si="3">J35*J36*J38^2</f>
        <v>0</v>
      </c>
      <c r="K40" s="23">
        <f t="shared" si="3"/>
        <v>12470794</v>
      </c>
      <c r="L40" s="23">
        <f t="shared" ref="L40:L42" si="4">SUM(H40:K40)</f>
        <v>24941588</v>
      </c>
    </row>
    <row r="41" spans="1:12" hidden="1">
      <c r="G41" s="39" t="s">
        <v>28</v>
      </c>
      <c r="H41" s="23">
        <f>H35*H36*H37^2</f>
        <v>12470794</v>
      </c>
      <c r="I41" s="23">
        <f t="shared" ref="I41:K41" si="5">I35*I36*I37^2</f>
        <v>0</v>
      </c>
      <c r="J41" s="23">
        <f t="shared" si="5"/>
        <v>12470794</v>
      </c>
      <c r="K41" s="23">
        <f t="shared" si="5"/>
        <v>0</v>
      </c>
      <c r="L41" s="23">
        <f t="shared" si="4"/>
        <v>24941588</v>
      </c>
    </row>
    <row r="42" spans="1:12" ht="15.75" hidden="1" thickBot="1">
      <c r="G42" s="41" t="s">
        <v>29</v>
      </c>
      <c r="H42" s="23">
        <v>0</v>
      </c>
      <c r="I42" s="23">
        <v>0</v>
      </c>
      <c r="J42" s="23">
        <v>0</v>
      </c>
      <c r="K42" s="23">
        <v>0</v>
      </c>
      <c r="L42" s="23">
        <f t="shared" si="4"/>
        <v>0</v>
      </c>
    </row>
    <row r="43" spans="1:12" hidden="1"/>
    <row r="44" spans="1:12" ht="15.75" thickBot="1"/>
    <row r="45" spans="1:12" ht="21">
      <c r="A45" s="56"/>
      <c r="B45" s="59" t="s">
        <v>58</v>
      </c>
      <c r="C45" s="60"/>
      <c r="D45" s="61"/>
    </row>
    <row r="46" spans="1:12" ht="24">
      <c r="B46" s="62" t="s">
        <v>59</v>
      </c>
      <c r="C46" s="63"/>
      <c r="D46" s="64"/>
    </row>
    <row r="47" spans="1:12" ht="24.75" thickBot="1">
      <c r="B47" s="65" t="s">
        <v>60</v>
      </c>
      <c r="C47" s="66"/>
      <c r="D47" s="67"/>
    </row>
  </sheetData>
  <sheetProtection password="CB9C" sheet="1" objects="1" scenarios="1"/>
  <mergeCells count="8">
    <mergeCell ref="A1:B1"/>
    <mergeCell ref="B45:D45"/>
    <mergeCell ref="B46:D46"/>
    <mergeCell ref="B47:D47"/>
    <mergeCell ref="A2:B2"/>
    <mergeCell ref="D2:E2"/>
    <mergeCell ref="E19:E22"/>
    <mergeCell ref="C26:C28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E53" sqref="E53"/>
    </sheetView>
  </sheetViews>
  <sheetFormatPr defaultColWidth="9.140625" defaultRowHeight="15"/>
  <cols>
    <col min="1" max="1" width="24.28515625" style="18" bestFit="1" customWidth="1"/>
    <col min="2" max="3" width="11.85546875" style="18" bestFit="1" customWidth="1"/>
    <col min="4" max="4" width="12.42578125" style="18" bestFit="1" customWidth="1"/>
    <col min="5" max="5" width="10.42578125" style="18" bestFit="1" customWidth="1"/>
    <col min="6" max="6" width="9" style="18"/>
    <col min="7" max="7" width="9.5703125" style="18" bestFit="1" customWidth="1"/>
    <col min="8" max="8" width="13.28515625" style="18" customWidth="1"/>
    <col min="9" max="9" width="10.42578125" style="18" bestFit="1" customWidth="1"/>
    <col min="10" max="10" width="11" style="19" bestFit="1" customWidth="1"/>
    <col min="11" max="11" width="11.42578125" style="19" bestFit="1" customWidth="1"/>
    <col min="12" max="16384" width="9.140625" style="19"/>
  </cols>
  <sheetData>
    <row r="1" spans="1:5" ht="19.5" thickBot="1">
      <c r="A1" s="57" t="s">
        <v>54</v>
      </c>
      <c r="B1" s="58"/>
    </row>
    <row r="2" spans="1:5">
      <c r="A2" s="50" t="s">
        <v>43</v>
      </c>
      <c r="B2" s="50"/>
      <c r="D2" s="50" t="s">
        <v>30</v>
      </c>
      <c r="E2" s="50"/>
    </row>
    <row r="3" spans="1:5">
      <c r="A3" s="20" t="s">
        <v>0</v>
      </c>
      <c r="B3" s="43">
        <v>53</v>
      </c>
      <c r="D3" s="18" t="s">
        <v>31</v>
      </c>
      <c r="E3" s="44">
        <v>-40000</v>
      </c>
    </row>
    <row r="4" spans="1:5">
      <c r="A4" s="20" t="s">
        <v>1</v>
      </c>
      <c r="B4" s="43">
        <v>45</v>
      </c>
      <c r="D4" s="18" t="s">
        <v>32</v>
      </c>
      <c r="E4" s="44">
        <v>55000</v>
      </c>
    </row>
    <row r="5" spans="1:5">
      <c r="A5" s="20" t="s">
        <v>2</v>
      </c>
      <c r="B5" s="43">
        <v>45</v>
      </c>
      <c r="D5" s="18" t="s">
        <v>33</v>
      </c>
      <c r="E5" s="44">
        <v>65000</v>
      </c>
    </row>
    <row r="6" spans="1:5">
      <c r="A6" s="20" t="s">
        <v>55</v>
      </c>
      <c r="B6" s="43">
        <v>10</v>
      </c>
    </row>
    <row r="7" spans="1:5" hidden="1">
      <c r="A7" s="20" t="s">
        <v>4</v>
      </c>
      <c r="B7" s="3">
        <f>B4+B3</f>
        <v>98</v>
      </c>
    </row>
    <row r="8" spans="1:5" hidden="1">
      <c r="A8" s="20" t="s">
        <v>5</v>
      </c>
      <c r="B8" s="3">
        <f>B6+B5+B3/2</f>
        <v>81.5</v>
      </c>
    </row>
    <row r="9" spans="1:5">
      <c r="A9" s="20" t="s">
        <v>45</v>
      </c>
      <c r="B9" s="43">
        <v>210</v>
      </c>
    </row>
    <row r="10" spans="1:5" hidden="1">
      <c r="A10" s="20" t="s">
        <v>3</v>
      </c>
      <c r="B10" s="21">
        <f>1-1/(1+2/3*SQRT(B7/B8))</f>
        <v>0.42231362829211005</v>
      </c>
    </row>
    <row r="11" spans="1:5" hidden="1">
      <c r="A11" s="20" t="s">
        <v>6</v>
      </c>
      <c r="B11" s="21">
        <f>1-1/(1+2/3*SQRT(B8/B7))</f>
        <v>0.37809371234128708</v>
      </c>
    </row>
    <row r="13" spans="1:5">
      <c r="A13" s="18" t="s">
        <v>47</v>
      </c>
      <c r="B13" s="47">
        <f>E20/C27</f>
        <v>1.4665570961031953</v>
      </c>
      <c r="C13" s="48" t="str">
        <f>IF(B13&lt;1,"OK","Not OK")</f>
        <v>Not OK</v>
      </c>
    </row>
    <row r="16" spans="1:5" hidden="1">
      <c r="A16" s="18" t="s">
        <v>41</v>
      </c>
      <c r="B16" s="18">
        <v>0</v>
      </c>
    </row>
    <row r="17" spans="1:11" hidden="1">
      <c r="A17" s="18" t="s">
        <v>42</v>
      </c>
      <c r="B17" s="18">
        <v>0</v>
      </c>
    </row>
    <row r="18" spans="1:11" hidden="1"/>
    <row r="19" spans="1:11" hidden="1">
      <c r="B19" s="35" t="s">
        <v>38</v>
      </c>
      <c r="C19" s="35" t="s">
        <v>39</v>
      </c>
      <c r="D19" s="35" t="s">
        <v>40</v>
      </c>
      <c r="E19" s="35" t="s">
        <v>44</v>
      </c>
    </row>
    <row r="20" spans="1:11" hidden="1">
      <c r="A20" s="35" t="s">
        <v>34</v>
      </c>
      <c r="B20" s="18">
        <f>-B8/2</f>
        <v>-40.75</v>
      </c>
      <c r="C20" s="18">
        <f>B4/2+B3/2</f>
        <v>49</v>
      </c>
      <c r="D20" s="22">
        <f>E$3/(K$27*B$3)+(B$10*(E$4*100-E$3*(H$33-B$17))*(K$42*(C20-H$33)-K$43*(B20-H$32)))/(K$41*K$42-K$43^2)-(B$11*(E$5*100+E$3*(H$32-B$16))*(K$41*(B20-H$32)-K$43*(C20-H$33)))/(K$41*K$42-K$43^2)</f>
        <v>6.6697852112843909</v>
      </c>
      <c r="E20" s="51">
        <f>MAX(ABS(D20),ABS(D21),ABS(D22),ABS(D23))</f>
        <v>19.148440690885487</v>
      </c>
    </row>
    <row r="21" spans="1:11" hidden="1">
      <c r="A21" s="35" t="s">
        <v>35</v>
      </c>
      <c r="B21" s="18">
        <f>B8/2</f>
        <v>40.75</v>
      </c>
      <c r="C21" s="18">
        <f>B4/2+B3/2</f>
        <v>49</v>
      </c>
      <c r="D21" s="22">
        <f>E$3/(K$27*B$3)+(B$10*(E$4*100-E$3*(H$33-B$17))*(K$42*(C21-H$33)-K$43*(B21-H$32)))/(K$41*K$42-K$43^2)-(B$11*(E$5*100+E$3*(H$32-B$16))*(K$41*(B21-H$32)-K$43*(C21-H$33)))/(K$41*K$42-K$43^2)</f>
        <v>-3.0288078276023596</v>
      </c>
      <c r="E21" s="52"/>
    </row>
    <row r="22" spans="1:11" hidden="1">
      <c r="A22" s="35" t="s">
        <v>36</v>
      </c>
      <c r="B22" s="18">
        <f>B8/2</f>
        <v>40.75</v>
      </c>
      <c r="C22" s="18">
        <f>-B4/2-B6</f>
        <v>-32.5</v>
      </c>
      <c r="D22" s="22">
        <f>E$3/(K$27*B$3)+(B$10*(E$4*100-E$3*(H$33-B$17))*(K$42*(C22-H$33)-K$43*(B22-H$32)))/(K$41*K$42-K$43^2)-(B$11*(E$5*100+E$3*(H$32-B$16))*(K$41*(B22-H$32)-K$43*(C22-H$33)))/(K$41*K$42-K$43^2)</f>
        <v>-19.148440690885487</v>
      </c>
      <c r="E22" s="52"/>
    </row>
    <row r="23" spans="1:11" ht="15.75" hidden="1" thickBot="1">
      <c r="A23" s="35" t="s">
        <v>37</v>
      </c>
      <c r="B23" s="18">
        <f>-B8/2</f>
        <v>-40.75</v>
      </c>
      <c r="C23" s="18">
        <f>-B4/2-B6</f>
        <v>-32.5</v>
      </c>
      <c r="D23" s="22">
        <f>E$3/(K$27*B$3)+(B$10*(E$4*100-E$3*(H$33-B$17))*(K$42*(C23-H$33)-K$43*(B23-H$32)))/(K$41*K$42-K$43^2)-(B$11*(E$5*100+E$3*(H$32-B$16))*(K$41*(B23-H$32)-K$43*(C23-H$33)))/(K$41*K$42-K$43^2)</f>
        <v>-9.4498476519987378</v>
      </c>
      <c r="E23" s="52"/>
    </row>
    <row r="24" spans="1:11" hidden="1">
      <c r="G24" s="36" t="s">
        <v>17</v>
      </c>
      <c r="H24" s="37" t="s">
        <v>13</v>
      </c>
      <c r="I24" s="37" t="s">
        <v>14</v>
      </c>
      <c r="J24" s="37" t="s">
        <v>15</v>
      </c>
      <c r="K24" s="38" t="s">
        <v>18</v>
      </c>
    </row>
    <row r="25" spans="1:11" hidden="1">
      <c r="G25" s="39" t="s">
        <v>10</v>
      </c>
      <c r="H25" s="23">
        <f>-B8/2</f>
        <v>-40.75</v>
      </c>
      <c r="I25" s="23">
        <v>0</v>
      </c>
      <c r="J25" s="23">
        <f>B8/2</f>
        <v>40.75</v>
      </c>
      <c r="K25" s="24" t="s">
        <v>19</v>
      </c>
    </row>
    <row r="26" spans="1:11" hidden="1">
      <c r="C26" s="18" t="s">
        <v>46</v>
      </c>
      <c r="G26" s="39" t="s">
        <v>11</v>
      </c>
      <c r="H26" s="23">
        <f>B7/2-B6-B4/2</f>
        <v>16.5</v>
      </c>
      <c r="I26" s="23">
        <f>B4/2+B3/2</f>
        <v>49</v>
      </c>
      <c r="J26" s="23">
        <f>B7/2-B6-B4/2</f>
        <v>16.5</v>
      </c>
      <c r="K26" s="24" t="s">
        <v>19</v>
      </c>
    </row>
    <row r="27" spans="1:11" hidden="1">
      <c r="A27" s="40" t="s">
        <v>51</v>
      </c>
      <c r="B27" s="22">
        <f>0.85*0.53*(1+2/(B4/B5))*SQRT(B9)</f>
        <v>19.585095672475028</v>
      </c>
      <c r="C27" s="52">
        <f>MIN(B27:B29)</f>
        <v>13.056730448316683</v>
      </c>
      <c r="G27" s="39" t="s">
        <v>12</v>
      </c>
      <c r="H27" s="23">
        <f>B7</f>
        <v>98</v>
      </c>
      <c r="I27" s="23">
        <f>B8</f>
        <v>81.5</v>
      </c>
      <c r="J27" s="23">
        <f>B7</f>
        <v>98</v>
      </c>
      <c r="K27" s="24">
        <f>SUM(H27:J27)</f>
        <v>277.5</v>
      </c>
    </row>
    <row r="28" spans="1:11" hidden="1">
      <c r="A28" s="40" t="s">
        <v>52</v>
      </c>
      <c r="B28" s="22">
        <f>0.85*0.53*(15*B3/K27+1)*SQRT(B9)</f>
        <v>25.231249379855214</v>
      </c>
      <c r="C28" s="52"/>
      <c r="G28" s="39" t="s">
        <v>0</v>
      </c>
      <c r="H28" s="23">
        <f>B3</f>
        <v>53</v>
      </c>
      <c r="I28" s="23">
        <f>B3</f>
        <v>53</v>
      </c>
      <c r="J28" s="23">
        <f>B3</f>
        <v>53</v>
      </c>
      <c r="K28" s="24" t="s">
        <v>19</v>
      </c>
    </row>
    <row r="29" spans="1:11" hidden="1">
      <c r="A29" s="40" t="s">
        <v>53</v>
      </c>
      <c r="B29" s="22">
        <f>0.85*1.06*SQRT(B9)</f>
        <v>13.056730448316683</v>
      </c>
      <c r="C29" s="52"/>
      <c r="G29" s="39" t="s">
        <v>7</v>
      </c>
      <c r="H29" s="23">
        <f>H28*H27</f>
        <v>5194</v>
      </c>
      <c r="I29" s="23">
        <f t="shared" ref="I29:J29" si="0">I28*I27</f>
        <v>4319.5</v>
      </c>
      <c r="J29" s="23">
        <f t="shared" si="0"/>
        <v>5194</v>
      </c>
      <c r="K29" s="24">
        <f>SUM(H29:J29)</f>
        <v>14707.5</v>
      </c>
    </row>
    <row r="30" spans="1:11" hidden="1">
      <c r="G30" s="39" t="s">
        <v>8</v>
      </c>
      <c r="H30" s="23">
        <f>H29*H25</f>
        <v>-211655.5</v>
      </c>
      <c r="I30" s="23">
        <f t="shared" ref="I30:J30" si="1">I29*I25</f>
        <v>0</v>
      </c>
      <c r="J30" s="23">
        <f t="shared" si="1"/>
        <v>211655.5</v>
      </c>
      <c r="K30" s="24">
        <f>SUM(H30:J30)</f>
        <v>0</v>
      </c>
    </row>
    <row r="31" spans="1:11" ht="15.75" hidden="1" thickBot="1">
      <c r="G31" s="41" t="s">
        <v>9</v>
      </c>
      <c r="H31" s="25">
        <f>H29*H26</f>
        <v>85701</v>
      </c>
      <c r="I31" s="25">
        <f t="shared" ref="I31:J31" si="2">I29*I26</f>
        <v>211655.5</v>
      </c>
      <c r="J31" s="25">
        <f t="shared" si="2"/>
        <v>85701</v>
      </c>
      <c r="K31" s="26">
        <f>SUM(H31:J31)</f>
        <v>383057.5</v>
      </c>
    </row>
    <row r="32" spans="1:11" hidden="1">
      <c r="B32" s="22"/>
      <c r="G32" s="27" t="s">
        <v>20</v>
      </c>
      <c r="H32" s="27">
        <f>K30/K29</f>
        <v>0</v>
      </c>
      <c r="I32" s="42"/>
      <c r="J32" s="18"/>
      <c r="K32" s="18"/>
    </row>
    <row r="33" spans="2:11" hidden="1">
      <c r="G33" s="27" t="s">
        <v>21</v>
      </c>
      <c r="H33" s="22">
        <f>K31/K29</f>
        <v>26.045045045045047</v>
      </c>
      <c r="J33" s="18"/>
      <c r="K33" s="18"/>
    </row>
    <row r="34" spans="2:11" ht="15.75" hidden="1" thickBot="1"/>
    <row r="35" spans="2:11" hidden="1">
      <c r="G35" s="36" t="s">
        <v>17</v>
      </c>
      <c r="H35" s="37" t="s">
        <v>13</v>
      </c>
      <c r="I35" s="37" t="s">
        <v>14</v>
      </c>
      <c r="J35" s="37" t="s">
        <v>15</v>
      </c>
      <c r="K35" s="38" t="s">
        <v>18</v>
      </c>
    </row>
    <row r="36" spans="2:11" hidden="1">
      <c r="G36" s="39" t="s">
        <v>12</v>
      </c>
      <c r="H36" s="23">
        <f>B7</f>
        <v>98</v>
      </c>
      <c r="I36" s="23">
        <f>B8</f>
        <v>81.5</v>
      </c>
      <c r="J36" s="23">
        <f>B7</f>
        <v>98</v>
      </c>
      <c r="K36" s="23" t="s">
        <v>19</v>
      </c>
    </row>
    <row r="37" spans="2:11" hidden="1">
      <c r="G37" s="39" t="s">
        <v>0</v>
      </c>
      <c r="H37" s="23">
        <f>B3</f>
        <v>53</v>
      </c>
      <c r="I37" s="23">
        <f>B3</f>
        <v>53</v>
      </c>
      <c r="J37" s="23">
        <f>B3</f>
        <v>53</v>
      </c>
      <c r="K37" s="23" t="s">
        <v>19</v>
      </c>
    </row>
    <row r="38" spans="2:11" hidden="1">
      <c r="G38" s="39" t="s">
        <v>22</v>
      </c>
      <c r="H38" s="23">
        <f>-B8/2-H32</f>
        <v>-40.75</v>
      </c>
      <c r="I38" s="23">
        <f>0-H32</f>
        <v>0</v>
      </c>
      <c r="J38" s="23">
        <f>B8/2-H32</f>
        <v>40.75</v>
      </c>
      <c r="K38" s="23" t="s">
        <v>19</v>
      </c>
    </row>
    <row r="39" spans="2:11" hidden="1">
      <c r="G39" s="39" t="s">
        <v>23</v>
      </c>
      <c r="H39" s="23">
        <f>H26-H33</f>
        <v>-9.5450450450450468</v>
      </c>
      <c r="I39" s="23">
        <f>I26-H33</f>
        <v>22.954954954954953</v>
      </c>
      <c r="J39" s="23">
        <f>J26-H33</f>
        <v>-9.5450450450450468</v>
      </c>
      <c r="K39" s="23" t="s">
        <v>19</v>
      </c>
    </row>
    <row r="40" spans="2:11" hidden="1">
      <c r="G40" s="39" t="s">
        <v>24</v>
      </c>
      <c r="H40" s="23" t="s">
        <v>25</v>
      </c>
      <c r="I40" s="23" t="s">
        <v>26</v>
      </c>
      <c r="J40" s="23" t="s">
        <v>25</v>
      </c>
      <c r="K40" s="23" t="s">
        <v>19</v>
      </c>
    </row>
    <row r="41" spans="2:11" hidden="1">
      <c r="G41" s="39" t="s">
        <v>27</v>
      </c>
      <c r="H41" s="23">
        <f>H36*B3^3/12+B3*H36^3/12+H36*B3*H39^2</f>
        <v>5845974.5208992781</v>
      </c>
      <c r="I41" s="23">
        <f>I36*I37*I39^2</f>
        <v>2276073.949192435</v>
      </c>
      <c r="J41" s="23">
        <f>J36*B3^3/12+B3*J36^3/12+J36*B3*J39^2</f>
        <v>5845974.5208992781</v>
      </c>
      <c r="K41" s="23">
        <f>SUM(H41:J41)</f>
        <v>13968022.990990993</v>
      </c>
    </row>
    <row r="42" spans="2:11" hidden="1">
      <c r="G42" s="39" t="s">
        <v>28</v>
      </c>
      <c r="H42" s="23">
        <f>H36*H37*H38^2</f>
        <v>8624961.625</v>
      </c>
      <c r="I42" s="23">
        <f>I36*B3^3/12+B3*I36^3/12</f>
        <v>3402056.197916667</v>
      </c>
      <c r="J42" s="23">
        <f t="shared" ref="J42" si="3">J36*J37*J38^2</f>
        <v>8624961.625</v>
      </c>
      <c r="K42" s="23">
        <f>SUM(H42:J42)</f>
        <v>20651979.447916668</v>
      </c>
    </row>
    <row r="43" spans="2:11" ht="15.75" hidden="1" thickBot="1">
      <c r="G43" s="41" t="s">
        <v>29</v>
      </c>
      <c r="H43" s="23">
        <f>H36*H37*H38*H39</f>
        <v>2020261.2815315318</v>
      </c>
      <c r="I43" s="23">
        <f t="shared" ref="I43:J43" si="4">I36*I37*I38*I39</f>
        <v>0</v>
      </c>
      <c r="J43" s="23">
        <f t="shared" si="4"/>
        <v>-2020261.2815315318</v>
      </c>
      <c r="K43" s="23">
        <f>SUM(H43:J43)</f>
        <v>0</v>
      </c>
    </row>
    <row r="44" spans="2:11" ht="15.75" thickBot="1"/>
    <row r="45" spans="2:11" ht="21">
      <c r="B45" s="59" t="s">
        <v>58</v>
      </c>
      <c r="C45" s="60"/>
      <c r="D45" s="61"/>
    </row>
    <row r="46" spans="2:11" ht="24">
      <c r="B46" s="62" t="s">
        <v>59</v>
      </c>
      <c r="C46" s="63"/>
      <c r="D46" s="64"/>
    </row>
    <row r="47" spans="2:11" ht="24.75" thickBot="1">
      <c r="B47" s="65" t="s">
        <v>60</v>
      </c>
      <c r="C47" s="66"/>
      <c r="D47" s="67"/>
    </row>
  </sheetData>
  <sheetProtection password="CB9C" sheet="1" objects="1" scenarios="1"/>
  <mergeCells count="8">
    <mergeCell ref="A1:B1"/>
    <mergeCell ref="B45:D45"/>
    <mergeCell ref="B46:D46"/>
    <mergeCell ref="B47:D47"/>
    <mergeCell ref="A2:B2"/>
    <mergeCell ref="D2:E2"/>
    <mergeCell ref="E20:E23"/>
    <mergeCell ref="C27:C29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D2" sqref="D2:E2"/>
    </sheetView>
  </sheetViews>
  <sheetFormatPr defaultColWidth="9.140625" defaultRowHeight="15"/>
  <cols>
    <col min="1" max="1" width="24.28515625" style="1" bestFit="1" customWidth="1"/>
    <col min="2" max="2" width="11.140625" style="1" customWidth="1"/>
    <col min="3" max="3" width="11.85546875" style="1" bestFit="1" customWidth="1"/>
    <col min="4" max="4" width="12.42578125" style="1" bestFit="1" customWidth="1"/>
    <col min="5" max="5" width="10.42578125" style="1" bestFit="1" customWidth="1"/>
    <col min="6" max="6" width="9" style="1"/>
    <col min="7" max="7" width="14.5703125" style="1" customWidth="1"/>
    <col min="8" max="8" width="15.140625" style="1" customWidth="1"/>
    <col min="9" max="9" width="10.42578125" style="1" bestFit="1" customWidth="1"/>
    <col min="10" max="10" width="11" style="2" bestFit="1" customWidth="1"/>
    <col min="11" max="11" width="11.42578125" style="2" bestFit="1" customWidth="1"/>
    <col min="12" max="16384" width="9.140625" style="2"/>
  </cols>
  <sheetData>
    <row r="1" spans="1:5" ht="19.5" thickBot="1">
      <c r="A1" s="57" t="s">
        <v>54</v>
      </c>
      <c r="B1" s="58"/>
    </row>
    <row r="2" spans="1:5">
      <c r="A2" s="53" t="s">
        <v>43</v>
      </c>
      <c r="B2" s="53"/>
      <c r="D2" s="68" t="s">
        <v>30</v>
      </c>
      <c r="E2" s="68"/>
    </row>
    <row r="3" spans="1:5">
      <c r="A3" s="3" t="s">
        <v>0</v>
      </c>
      <c r="B3" s="43">
        <v>53</v>
      </c>
      <c r="D3" s="1" t="s">
        <v>31</v>
      </c>
      <c r="E3" s="44">
        <v>-40000</v>
      </c>
    </row>
    <row r="4" spans="1:5">
      <c r="A4" s="3" t="s">
        <v>1</v>
      </c>
      <c r="B4" s="43">
        <v>45</v>
      </c>
      <c r="D4" s="1" t="s">
        <v>32</v>
      </c>
      <c r="E4" s="44">
        <v>55000</v>
      </c>
    </row>
    <row r="5" spans="1:5">
      <c r="A5" s="3" t="s">
        <v>2</v>
      </c>
      <c r="B5" s="43">
        <v>45</v>
      </c>
      <c r="D5" s="1" t="s">
        <v>33</v>
      </c>
      <c r="E5" s="44">
        <v>65000</v>
      </c>
    </row>
    <row r="6" spans="1:5">
      <c r="A6" s="3" t="s">
        <v>55</v>
      </c>
      <c r="B6" s="43">
        <v>10</v>
      </c>
    </row>
    <row r="7" spans="1:5" hidden="1">
      <c r="A7" s="3" t="s">
        <v>4</v>
      </c>
      <c r="B7" s="3">
        <f>B4+B3</f>
        <v>98</v>
      </c>
    </row>
    <row r="8" spans="1:5" hidden="1">
      <c r="A8" s="3" t="s">
        <v>5</v>
      </c>
      <c r="B8" s="3">
        <f>B6+B5+B3/2</f>
        <v>81.5</v>
      </c>
    </row>
    <row r="9" spans="1:5">
      <c r="A9" s="3" t="s">
        <v>45</v>
      </c>
      <c r="B9" s="43">
        <v>210</v>
      </c>
    </row>
    <row r="10" spans="1:5" hidden="1">
      <c r="A10" s="3" t="s">
        <v>3</v>
      </c>
      <c r="B10" s="28">
        <f>1-1/(1+2/3*SQRT(B7/B8))</f>
        <v>0.42231362829211005</v>
      </c>
    </row>
    <row r="11" spans="1:5" hidden="1">
      <c r="A11" s="3" t="s">
        <v>6</v>
      </c>
      <c r="B11" s="28">
        <f>1-1/(1+2/3*SQRT(B8/B7))</f>
        <v>0.37809371234128708</v>
      </c>
    </row>
    <row r="13" spans="1:5">
      <c r="A13" s="5" t="s">
        <v>47</v>
      </c>
      <c r="B13" s="45">
        <f>E20/C27</f>
        <v>0.89124798620651435</v>
      </c>
      <c r="C13" s="46" t="str">
        <f>IF(B13&lt;1,"OK","Not OK")</f>
        <v>OK</v>
      </c>
    </row>
    <row r="16" spans="1:5" hidden="1">
      <c r="A16" s="1" t="s">
        <v>41</v>
      </c>
      <c r="B16" s="1">
        <v>0</v>
      </c>
    </row>
    <row r="17" spans="1:11" hidden="1">
      <c r="A17" s="1" t="s">
        <v>42</v>
      </c>
      <c r="B17" s="1">
        <v>0</v>
      </c>
    </row>
    <row r="18" spans="1:11" hidden="1"/>
    <row r="19" spans="1:11" hidden="1">
      <c r="B19" s="4" t="s">
        <v>38</v>
      </c>
      <c r="C19" s="4" t="s">
        <v>39</v>
      </c>
      <c r="D19" s="4" t="s">
        <v>40</v>
      </c>
      <c r="E19" s="4" t="s">
        <v>44</v>
      </c>
    </row>
    <row r="20" spans="1:11" hidden="1">
      <c r="A20" s="4" t="s">
        <v>34</v>
      </c>
      <c r="B20" s="1">
        <f>-B5/2-B6</f>
        <v>-32.5</v>
      </c>
      <c r="C20" s="1">
        <f>B7/2</f>
        <v>49</v>
      </c>
      <c r="D20" s="29">
        <f>E$3/(K$27*B$3)+(B$10*(E$4*100-E$3*(H$33-B$17))*(K$42*(C20-H$33)-K$43*(B20-H$32)))/(K$41*K$42-K$43^2)-(B$11*(E$5*100+E$3*(H$32-B$16))*(K$41*(B20-H$32)-K$43*(C20-H$33)))/(K$41*K$42-K$43^2)</f>
        <v>11.128656781086782</v>
      </c>
      <c r="E20" s="54">
        <f>MAX(ABS(D20),ABS(D21),ABS(D22),ABS(D23))</f>
        <v>11.636784718503524</v>
      </c>
    </row>
    <row r="21" spans="1:11" hidden="1">
      <c r="A21" s="4" t="s">
        <v>35</v>
      </c>
      <c r="B21" s="1">
        <f>B5/2+B3/2</f>
        <v>49</v>
      </c>
      <c r="C21" s="1">
        <f>B7/2</f>
        <v>49</v>
      </c>
      <c r="D21" s="29">
        <f>E$3/(K$27*B$3)+(B$10*(E$4*100-E$3*(H$33-B$17))*(K$42*(C21-H$33)-K$43*(B21-H$32)))/(K$41*K$42-K$43^2)-(B$11*(E$5*100+E$3*(H$32-B$16))*(K$41*(B21-H$32)-K$43*(C21-H$33)))/(K$41*K$42-K$43^2)</f>
        <v>-2.9204510821620069</v>
      </c>
      <c r="E21" s="55"/>
    </row>
    <row r="22" spans="1:11" hidden="1">
      <c r="A22" s="4" t="s">
        <v>36</v>
      </c>
      <c r="B22" s="1">
        <f>B5/2+B3/2</f>
        <v>49</v>
      </c>
      <c r="C22" s="1">
        <f>-B4/2-B3/2</f>
        <v>-49</v>
      </c>
      <c r="D22" s="29">
        <f>E$3/(K$27*B$3)+(B$10*(E$4*100-E$3*(H$33-B$17))*(K$42*(C22-H$33)-K$43*(B22-H$32)))/(K$41*K$42-K$43^2)-(B$11*(E$5*100+E$3*(H$32-B$16))*(K$41*(B22-H$32)-K$43*(C22-H$33)))/(K$41*K$42-K$43^2)</f>
        <v>-11.636784718503524</v>
      </c>
      <c r="E22" s="55"/>
    </row>
    <row r="23" spans="1:11" ht="15.75" hidden="1" thickBot="1">
      <c r="A23" s="4" t="s">
        <v>37</v>
      </c>
      <c r="B23" s="1">
        <f>-B5/2-B6</f>
        <v>-32.5</v>
      </c>
      <c r="C23" s="1">
        <f>-B4/2-B3/2</f>
        <v>-49</v>
      </c>
      <c r="D23" s="29">
        <f>E$3/(K$27*B$3)+(B$10*(E$4*100-E$3*(H$33-B$17))*(K$42*(C23-H$33)-K$43*(B23-H$32)))/(K$41*K$42-K$43^2)-(B$11*(E$5*100+E$3*(H$32-B$16))*(K$41*(B23-H$32)-K$43*(C23-H$33)))/(K$41*K$42-K$43^2)</f>
        <v>2.4123231447452662</v>
      </c>
      <c r="E23" s="55"/>
    </row>
    <row r="24" spans="1:11" hidden="1">
      <c r="G24" s="6" t="s">
        <v>17</v>
      </c>
      <c r="H24" s="7" t="s">
        <v>13</v>
      </c>
      <c r="I24" s="7" t="s">
        <v>14</v>
      </c>
      <c r="J24" s="7" t="s">
        <v>15</v>
      </c>
      <c r="K24" s="8" t="s">
        <v>18</v>
      </c>
    </row>
    <row r="25" spans="1:11" hidden="1">
      <c r="G25" s="9" t="s">
        <v>10</v>
      </c>
      <c r="H25" s="10">
        <f>B8/2-B6-B5/2</f>
        <v>8.25</v>
      </c>
      <c r="I25" s="10">
        <f>B5/2+B3/2</f>
        <v>49</v>
      </c>
      <c r="J25" s="10">
        <f>B8/2-B6-B5/2</f>
        <v>8.25</v>
      </c>
      <c r="K25" s="11" t="s">
        <v>19</v>
      </c>
    </row>
    <row r="26" spans="1:11" hidden="1">
      <c r="C26" s="1" t="s">
        <v>46</v>
      </c>
      <c r="G26" s="9" t="s">
        <v>11</v>
      </c>
      <c r="H26" s="10">
        <f>B7/2</f>
        <v>49</v>
      </c>
      <c r="I26" s="10">
        <v>0</v>
      </c>
      <c r="J26" s="10">
        <f>-B7/2</f>
        <v>-49</v>
      </c>
      <c r="K26" s="11" t="s">
        <v>19</v>
      </c>
    </row>
    <row r="27" spans="1:11" hidden="1">
      <c r="A27" s="12" t="s">
        <v>48</v>
      </c>
      <c r="B27" s="29">
        <f>0.85*0.53*(1+2/(B4/B5))*SQRT(B9)</f>
        <v>19.585095672475028</v>
      </c>
      <c r="C27" s="55">
        <f>MIN(B27:B29)</f>
        <v>13.056730448316683</v>
      </c>
      <c r="G27" s="9" t="s">
        <v>12</v>
      </c>
      <c r="H27" s="10">
        <f>B8</f>
        <v>81.5</v>
      </c>
      <c r="I27" s="10">
        <f>B7</f>
        <v>98</v>
      </c>
      <c r="J27" s="10">
        <f>B8</f>
        <v>81.5</v>
      </c>
      <c r="K27" s="11">
        <f>SUM(H27:J27)</f>
        <v>261</v>
      </c>
    </row>
    <row r="28" spans="1:11" hidden="1">
      <c r="A28" s="12" t="s">
        <v>49</v>
      </c>
      <c r="B28" s="29">
        <f>0.85*0.53*(15*B3/K27+1)*SQRT(B9)</f>
        <v>26.413615619583179</v>
      </c>
      <c r="C28" s="55"/>
      <c r="G28" s="9" t="s">
        <v>0</v>
      </c>
      <c r="H28" s="10">
        <f>B3</f>
        <v>53</v>
      </c>
      <c r="I28" s="10">
        <f>B3</f>
        <v>53</v>
      </c>
      <c r="J28" s="10">
        <f>B3</f>
        <v>53</v>
      </c>
      <c r="K28" s="11" t="s">
        <v>19</v>
      </c>
    </row>
    <row r="29" spans="1:11" hidden="1">
      <c r="A29" s="12" t="s">
        <v>50</v>
      </c>
      <c r="B29" s="29">
        <f>0.85*1.06*SQRT(B9)</f>
        <v>13.056730448316683</v>
      </c>
      <c r="C29" s="55"/>
      <c r="G29" s="9" t="s">
        <v>7</v>
      </c>
      <c r="H29" s="10">
        <f>H28*H27</f>
        <v>4319.5</v>
      </c>
      <c r="I29" s="10">
        <f t="shared" ref="I29:J29" si="0">I28*I27</f>
        <v>5194</v>
      </c>
      <c r="J29" s="10">
        <f t="shared" si="0"/>
        <v>4319.5</v>
      </c>
      <c r="K29" s="11">
        <f>SUM(H29:J29)</f>
        <v>13833</v>
      </c>
    </row>
    <row r="30" spans="1:11" hidden="1">
      <c r="G30" s="9" t="s">
        <v>8</v>
      </c>
      <c r="H30" s="10">
        <f>H29*H25</f>
        <v>35635.875</v>
      </c>
      <c r="I30" s="10">
        <f t="shared" ref="I30:J30" si="1">I29*I25</f>
        <v>254506</v>
      </c>
      <c r="J30" s="10">
        <f t="shared" si="1"/>
        <v>35635.875</v>
      </c>
      <c r="K30" s="11">
        <f>SUM(H30:J30)</f>
        <v>325777.75</v>
      </c>
    </row>
    <row r="31" spans="1:11" ht="15.75" hidden="1" thickBot="1">
      <c r="G31" s="13" t="s">
        <v>9</v>
      </c>
      <c r="H31" s="14">
        <f>H29*H26</f>
        <v>211655.5</v>
      </c>
      <c r="I31" s="14">
        <f t="shared" ref="I31:J31" si="2">I29*I26</f>
        <v>0</v>
      </c>
      <c r="J31" s="14">
        <f t="shared" si="2"/>
        <v>-211655.5</v>
      </c>
      <c r="K31" s="15">
        <f>SUM(H31:J31)</f>
        <v>0</v>
      </c>
    </row>
    <row r="32" spans="1:11" hidden="1">
      <c r="B32" s="29"/>
      <c r="G32" s="16" t="s">
        <v>20</v>
      </c>
      <c r="H32" s="30">
        <f>K30/K29</f>
        <v>23.550766283524904</v>
      </c>
      <c r="I32" s="17"/>
      <c r="J32" s="1"/>
      <c r="K32" s="1"/>
    </row>
    <row r="33" spans="2:11" hidden="1">
      <c r="G33" s="16" t="s">
        <v>21</v>
      </c>
      <c r="H33" s="29">
        <f>K31/K29</f>
        <v>0</v>
      </c>
      <c r="J33" s="1"/>
      <c r="K33" s="1"/>
    </row>
    <row r="34" spans="2:11" ht="15.75" hidden="1" thickBot="1"/>
    <row r="35" spans="2:11" hidden="1">
      <c r="G35" s="6" t="s">
        <v>17</v>
      </c>
      <c r="H35" s="7" t="s">
        <v>13</v>
      </c>
      <c r="I35" s="7" t="s">
        <v>14</v>
      </c>
      <c r="J35" s="7" t="s">
        <v>15</v>
      </c>
      <c r="K35" s="8" t="s">
        <v>18</v>
      </c>
    </row>
    <row r="36" spans="2:11" hidden="1">
      <c r="G36" s="9" t="s">
        <v>12</v>
      </c>
      <c r="H36" s="10">
        <f>H27</f>
        <v>81.5</v>
      </c>
      <c r="I36" s="10">
        <f>I27</f>
        <v>98</v>
      </c>
      <c r="J36" s="10">
        <f>J27</f>
        <v>81.5</v>
      </c>
      <c r="K36" s="10" t="s">
        <v>19</v>
      </c>
    </row>
    <row r="37" spans="2:11" hidden="1">
      <c r="G37" s="9" t="s">
        <v>0</v>
      </c>
      <c r="H37" s="10">
        <f>B3</f>
        <v>53</v>
      </c>
      <c r="I37" s="10">
        <f>B3</f>
        <v>53</v>
      </c>
      <c r="J37" s="10">
        <f>B3</f>
        <v>53</v>
      </c>
      <c r="K37" s="10" t="s">
        <v>19</v>
      </c>
    </row>
    <row r="38" spans="2:11" hidden="1">
      <c r="G38" s="9" t="s">
        <v>22</v>
      </c>
      <c r="H38" s="10">
        <f>H25-H32</f>
        <v>-15.300766283524904</v>
      </c>
      <c r="I38" s="10">
        <f>I25-H32</f>
        <v>25.449233716475096</v>
      </c>
      <c r="J38" s="10">
        <f>J25-H32</f>
        <v>-15.300766283524904</v>
      </c>
      <c r="K38" s="10" t="s">
        <v>19</v>
      </c>
    </row>
    <row r="39" spans="2:11" hidden="1">
      <c r="G39" s="9" t="s">
        <v>23</v>
      </c>
      <c r="H39" s="10">
        <f>H26-H33</f>
        <v>49</v>
      </c>
      <c r="I39" s="10">
        <f>I26-H33</f>
        <v>0</v>
      </c>
      <c r="J39" s="10">
        <f>J26-H33</f>
        <v>-49</v>
      </c>
      <c r="K39" s="10" t="s">
        <v>19</v>
      </c>
    </row>
    <row r="40" spans="2:11" hidden="1">
      <c r="G40" s="9" t="s">
        <v>24</v>
      </c>
      <c r="H40" s="10" t="s">
        <v>26</v>
      </c>
      <c r="I40" s="10" t="s">
        <v>25</v>
      </c>
      <c r="J40" s="10" t="s">
        <v>26</v>
      </c>
      <c r="K40" s="10" t="s">
        <v>19</v>
      </c>
    </row>
    <row r="41" spans="2:11" hidden="1">
      <c r="G41" s="9" t="s">
        <v>27</v>
      </c>
      <c r="H41" s="10">
        <f>H36*H37*H39^2</f>
        <v>10371119.5</v>
      </c>
      <c r="I41" s="10">
        <f>I36*I37^3/12+I37*I36^3/12+I36*I37*I39^2</f>
        <v>5372760.166666667</v>
      </c>
      <c r="J41" s="10">
        <f>H36*H37*H39^2</f>
        <v>10371119.5</v>
      </c>
      <c r="K41" s="10">
        <f>SUM(H41:J41)</f>
        <v>26114999.166666668</v>
      </c>
    </row>
    <row r="42" spans="2:11" hidden="1">
      <c r="G42" s="9" t="s">
        <v>28</v>
      </c>
      <c r="H42" s="10">
        <f>H36*H37^3/12+H37*H36^3/12+H36*H37*H38^2</f>
        <v>4413309.2402806226</v>
      </c>
      <c r="I42" s="10">
        <f>I36*I37*I38^2</f>
        <v>3363964.2021494838</v>
      </c>
      <c r="J42" s="10">
        <f>H36*H37^3/12+H37*H36^3/12+H36*H37*H38^2</f>
        <v>4413309.2402806226</v>
      </c>
      <c r="K42" s="10">
        <f>SUM(H42:J42)</f>
        <v>12190582.68271073</v>
      </c>
    </row>
    <row r="43" spans="2:11" ht="15.75" hidden="1" thickBot="1">
      <c r="G43" s="13" t="s">
        <v>29</v>
      </c>
      <c r="H43" s="10">
        <f>H36*H37*H38*H39</f>
        <v>-3238491.3381226058</v>
      </c>
      <c r="I43" s="10">
        <f t="shared" ref="I43:J43" si="3">I36*I37*I38*I39</f>
        <v>0</v>
      </c>
      <c r="J43" s="10">
        <f t="shared" si="3"/>
        <v>3238491.3381226058</v>
      </c>
      <c r="K43" s="10">
        <f>SUM(H43:J43)</f>
        <v>0</v>
      </c>
    </row>
    <row r="44" spans="2:11" ht="15.75" thickBot="1"/>
    <row r="45" spans="2:11" ht="21">
      <c r="B45" s="59" t="s">
        <v>58</v>
      </c>
      <c r="C45" s="60"/>
      <c r="D45" s="61"/>
    </row>
    <row r="46" spans="2:11" ht="24">
      <c r="B46" s="62" t="s">
        <v>59</v>
      </c>
      <c r="C46" s="63"/>
      <c r="D46" s="64"/>
    </row>
    <row r="47" spans="2:11" ht="24.75" thickBot="1">
      <c r="B47" s="65" t="s">
        <v>60</v>
      </c>
      <c r="C47" s="66"/>
      <c r="D47" s="67"/>
    </row>
  </sheetData>
  <sheetProtection password="CB9C" sheet="1" objects="1" scenarios="1"/>
  <mergeCells count="8">
    <mergeCell ref="A1:B1"/>
    <mergeCell ref="B45:D45"/>
    <mergeCell ref="B46:D46"/>
    <mergeCell ref="B47:D47"/>
    <mergeCell ref="A2:B2"/>
    <mergeCell ref="D2:E2"/>
    <mergeCell ref="E20:E23"/>
    <mergeCell ref="C27:C29"/>
  </mergeCells>
  <pageMargins left="0.7" right="0.7" top="0.75" bottom="0.75" header="0.3" footer="0.3"/>
  <ignoredErrors>
    <ignoredError sqref="I38" formula="1"/>
  </ignoredErrors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A53" sqref="A53"/>
    </sheetView>
  </sheetViews>
  <sheetFormatPr defaultColWidth="9.140625" defaultRowHeight="15"/>
  <cols>
    <col min="1" max="1" width="34.42578125" style="1" bestFit="1" customWidth="1"/>
    <col min="2" max="2" width="11.28515625" style="1" customWidth="1"/>
    <col min="3" max="3" width="11.85546875" style="1" bestFit="1" customWidth="1"/>
    <col min="4" max="4" width="12.28515625" style="1" bestFit="1" customWidth="1"/>
    <col min="5" max="5" width="9.5703125" style="1" customWidth="1"/>
    <col min="6" max="6" width="9" style="1"/>
    <col min="7" max="7" width="14.140625" style="1" customWidth="1"/>
    <col min="8" max="8" width="12.42578125" style="1" customWidth="1"/>
    <col min="9" max="9" width="10.42578125" style="1" bestFit="1" customWidth="1"/>
    <col min="10" max="10" width="11.42578125" style="2" bestFit="1" customWidth="1"/>
    <col min="11" max="16384" width="9.140625" style="2"/>
  </cols>
  <sheetData>
    <row r="1" spans="1:5" ht="19.5" thickBot="1">
      <c r="A1" s="57" t="s">
        <v>54</v>
      </c>
      <c r="B1" s="58"/>
    </row>
    <row r="2" spans="1:5">
      <c r="A2" s="53" t="s">
        <v>43</v>
      </c>
      <c r="B2" s="53"/>
      <c r="D2" s="68" t="s">
        <v>30</v>
      </c>
      <c r="E2" s="68"/>
    </row>
    <row r="3" spans="1:5">
      <c r="A3" s="3" t="s">
        <v>0</v>
      </c>
      <c r="B3" s="43">
        <v>53</v>
      </c>
      <c r="D3" s="1" t="s">
        <v>31</v>
      </c>
      <c r="E3" s="44">
        <v>-40000</v>
      </c>
    </row>
    <row r="4" spans="1:5">
      <c r="A4" s="3" t="s">
        <v>1</v>
      </c>
      <c r="B4" s="43">
        <v>55</v>
      </c>
      <c r="D4" s="1" t="s">
        <v>32</v>
      </c>
      <c r="E4" s="44">
        <v>55000</v>
      </c>
    </row>
    <row r="5" spans="1:5">
      <c r="A5" s="3" t="s">
        <v>2</v>
      </c>
      <c r="B5" s="43">
        <v>55</v>
      </c>
      <c r="D5" s="1" t="s">
        <v>33</v>
      </c>
      <c r="E5" s="44">
        <v>65000</v>
      </c>
    </row>
    <row r="6" spans="1:5">
      <c r="A6" s="49" t="s">
        <v>56</v>
      </c>
      <c r="B6" s="43">
        <v>10</v>
      </c>
    </row>
    <row r="7" spans="1:5">
      <c r="A7" s="49" t="s">
        <v>57</v>
      </c>
      <c r="B7" s="43">
        <v>10</v>
      </c>
    </row>
    <row r="8" spans="1:5" hidden="1">
      <c r="A8" s="3" t="s">
        <v>4</v>
      </c>
      <c r="B8" s="3">
        <f>B6+B4+B3/2</f>
        <v>91.5</v>
      </c>
    </row>
    <row r="9" spans="1:5" hidden="1">
      <c r="A9" s="3" t="s">
        <v>5</v>
      </c>
      <c r="B9" s="3">
        <f>B7+B5+B3/2</f>
        <v>91.5</v>
      </c>
    </row>
    <row r="10" spans="1:5">
      <c r="A10" s="3" t="s">
        <v>45</v>
      </c>
      <c r="B10" s="43">
        <v>210</v>
      </c>
    </row>
    <row r="11" spans="1:5" hidden="1">
      <c r="A11" s="3" t="s">
        <v>3</v>
      </c>
      <c r="B11" s="28">
        <f>1-1/(1+2/3*SQRT(B8/B9))</f>
        <v>0.39999999999999991</v>
      </c>
    </row>
    <row r="12" spans="1:5" hidden="1">
      <c r="A12" s="3" t="s">
        <v>6</v>
      </c>
      <c r="B12" s="28">
        <f>1-1/(1+2/3*SQRT(B9/B8))</f>
        <v>0.39999999999999991</v>
      </c>
    </row>
    <row r="14" spans="1:5">
      <c r="A14" s="5" t="s">
        <v>47</v>
      </c>
      <c r="B14" s="45">
        <f>E21/C28</f>
        <v>1.693512391211806</v>
      </c>
      <c r="C14" s="46" t="str">
        <f>IF(B14&lt;1,"OK","Not OK")</f>
        <v>Not OK</v>
      </c>
    </row>
    <row r="17" spans="1:10" hidden="1">
      <c r="A17" s="1" t="s">
        <v>41</v>
      </c>
      <c r="B17" s="1">
        <v>0</v>
      </c>
    </row>
    <row r="18" spans="1:10" hidden="1">
      <c r="A18" s="1" t="s">
        <v>42</v>
      </c>
      <c r="B18" s="1">
        <v>0</v>
      </c>
    </row>
    <row r="19" spans="1:10" hidden="1"/>
    <row r="20" spans="1:10" ht="15.75" hidden="1" thickBot="1">
      <c r="B20" s="4" t="s">
        <v>38</v>
      </c>
      <c r="C20" s="4" t="s">
        <v>39</v>
      </c>
      <c r="D20" s="4" t="s">
        <v>40</v>
      </c>
      <c r="E20" s="4" t="s">
        <v>44</v>
      </c>
    </row>
    <row r="21" spans="1:10" hidden="1">
      <c r="A21" s="4" t="s">
        <v>34</v>
      </c>
      <c r="B21" s="1">
        <f>-B5/2-B7</f>
        <v>-37.5</v>
      </c>
      <c r="C21" s="1">
        <f>B4/2+B3/2</f>
        <v>54</v>
      </c>
      <c r="D21" s="29">
        <f>E$3/(J$24*B$3)+(B$11*(E$4*100-E$3*(H$30-B$18))*(J$39*(C21-H$30)-J$40*(B21-H$29)))/(J$38*J$39-J$40^2)-(B$12*(E$5*100+E$3*(H$29-B$17))*(J$38*(B21-H$29)-J$40*(C21-H$30)))/(J$38*J$39-J$40^2)</f>
        <v>7.8291008582618709</v>
      </c>
      <c r="E21" s="54">
        <f>MAX(ABS(D21),ABS(D22),ABS(D23),ABS(D24))</f>
        <v>22.11173480293678</v>
      </c>
      <c r="G21" s="6" t="s">
        <v>17</v>
      </c>
      <c r="H21" s="7" t="s">
        <v>13</v>
      </c>
      <c r="I21" s="7" t="s">
        <v>14</v>
      </c>
      <c r="J21" s="8" t="s">
        <v>18</v>
      </c>
    </row>
    <row r="22" spans="1:10" hidden="1">
      <c r="A22" s="4" t="s">
        <v>35</v>
      </c>
      <c r="B22" s="1">
        <f>B5/2+B3/2</f>
        <v>54</v>
      </c>
      <c r="C22" s="1">
        <f>B4/2+B3/2</f>
        <v>54</v>
      </c>
      <c r="D22" s="29">
        <f>E$3/(J$24*B$3)+(B$11*(E$4*100-E$3*(H$30-B$18))*(J$39*(C22-H$30)-J$40*(B22-H$29)))/(J$38*J$39-J$40^2)-(B$12*(E$5*100+E$3*(H$29-B$17))*(J$38*(B22-H$29)-J$40*(C22-H$30)))/(J$38*J$39-J$40^2)</f>
        <v>-1.1069560454994374</v>
      </c>
      <c r="E22" s="54"/>
      <c r="G22" s="9" t="s">
        <v>10</v>
      </c>
      <c r="H22" s="10">
        <f>B9/2-B7-B5/2</f>
        <v>8.25</v>
      </c>
      <c r="I22" s="10">
        <f>B5/2+B3/2</f>
        <v>54</v>
      </c>
      <c r="J22" s="11" t="s">
        <v>19</v>
      </c>
    </row>
    <row r="23" spans="1:10" hidden="1">
      <c r="A23" s="4" t="s">
        <v>36</v>
      </c>
      <c r="B23" s="1">
        <f>B5/2+B3/2</f>
        <v>54</v>
      </c>
      <c r="C23" s="1">
        <f>-B4/2-B6</f>
        <v>-37.5</v>
      </c>
      <c r="D23" s="29">
        <f>E$3/(J$24*B$3)+(B$11*(E$4*100-E$3*(H$30-B$18))*(J$39*(C23-H$30)-J$40*(B23-H$29)))/(J$38*J$39-J$40^2)-(B$12*(E$5*100+E$3*(H$29-B$17))*(J$38*(B23-H$29)-J$40*(C23-H$30)))/(J$38*J$39-J$40^2)</f>
        <v>-22.11173480293678</v>
      </c>
      <c r="E23" s="54"/>
      <c r="G23" s="9" t="s">
        <v>11</v>
      </c>
      <c r="H23" s="10">
        <f>B4/2+B3/2</f>
        <v>54</v>
      </c>
      <c r="I23" s="10">
        <f>B8/2-B6-B4/2</f>
        <v>8.25</v>
      </c>
      <c r="J23" s="11" t="s">
        <v>19</v>
      </c>
    </row>
    <row r="24" spans="1:10" hidden="1">
      <c r="A24" s="31"/>
      <c r="B24" s="31"/>
      <c r="C24" s="31"/>
      <c r="D24" s="32"/>
      <c r="E24" s="33"/>
      <c r="G24" s="9" t="s">
        <v>12</v>
      </c>
      <c r="H24" s="10">
        <f>B9</f>
        <v>91.5</v>
      </c>
      <c r="I24" s="10">
        <f>B8</f>
        <v>91.5</v>
      </c>
      <c r="J24" s="11">
        <f>SUM(H24:I24)</f>
        <v>183</v>
      </c>
    </row>
    <row r="25" spans="1:10" hidden="1">
      <c r="G25" s="9" t="s">
        <v>0</v>
      </c>
      <c r="H25" s="10">
        <f>B3</f>
        <v>53</v>
      </c>
      <c r="I25" s="10">
        <f>B3</f>
        <v>53</v>
      </c>
      <c r="J25" s="11" t="s">
        <v>19</v>
      </c>
    </row>
    <row r="26" spans="1:10" hidden="1">
      <c r="G26" s="9" t="s">
        <v>7</v>
      </c>
      <c r="H26" s="10">
        <f>H25*H24</f>
        <v>4849.5</v>
      </c>
      <c r="I26" s="10">
        <f t="shared" ref="I26" si="0">I25*I24</f>
        <v>4849.5</v>
      </c>
      <c r="J26" s="11">
        <f>SUM(H26:I26)</f>
        <v>9699</v>
      </c>
    </row>
    <row r="27" spans="1:10" hidden="1">
      <c r="C27" s="1" t="s">
        <v>46</v>
      </c>
      <c r="G27" s="9" t="s">
        <v>8</v>
      </c>
      <c r="H27" s="10">
        <f>H26*H22</f>
        <v>40008.375</v>
      </c>
      <c r="I27" s="10">
        <f t="shared" ref="I27" si="1">I26*I22</f>
        <v>261873</v>
      </c>
      <c r="J27" s="11">
        <f>SUM(H27:I27)</f>
        <v>301881.375</v>
      </c>
    </row>
    <row r="28" spans="1:10" ht="15.75" hidden="1" thickBot="1">
      <c r="A28" s="12" t="s">
        <v>48</v>
      </c>
      <c r="B28" s="29">
        <f>0.85*0.53*(1+2/(B4/B5))*SQRT(B10)</f>
        <v>19.585095672475028</v>
      </c>
      <c r="C28" s="54">
        <f>MIN(B28:B30)</f>
        <v>13.056730448316683</v>
      </c>
      <c r="G28" s="13" t="s">
        <v>9</v>
      </c>
      <c r="H28" s="14">
        <f>H26*H23</f>
        <v>261873</v>
      </c>
      <c r="I28" s="14">
        <f t="shared" ref="I28" si="2">I26*I23</f>
        <v>40008.375</v>
      </c>
      <c r="J28" s="15">
        <f>SUM(H28:I28)</f>
        <v>301881.375</v>
      </c>
    </row>
    <row r="29" spans="1:10" hidden="1">
      <c r="A29" s="12" t="s">
        <v>49</v>
      </c>
      <c r="B29" s="29">
        <f>0.85*0.53*(10*B3/J24+1)*SQRT(B10)</f>
        <v>25.435652485381958</v>
      </c>
      <c r="C29" s="54"/>
      <c r="G29" s="16" t="s">
        <v>20</v>
      </c>
      <c r="H29" s="30">
        <f>J27/J26</f>
        <v>31.125</v>
      </c>
      <c r="I29" s="17"/>
      <c r="J29" s="1"/>
    </row>
    <row r="30" spans="1:10" hidden="1">
      <c r="A30" s="12" t="s">
        <v>50</v>
      </c>
      <c r="B30" s="29">
        <f>0.85*1.06*SQRT(B10)</f>
        <v>13.056730448316683</v>
      </c>
      <c r="C30" s="54"/>
      <c r="G30" s="16" t="s">
        <v>21</v>
      </c>
      <c r="H30" s="29">
        <f>J28/J26</f>
        <v>31.125</v>
      </c>
      <c r="J30" s="1"/>
    </row>
    <row r="31" spans="1:10" ht="15.75" hidden="1" thickBot="1"/>
    <row r="32" spans="1:10" hidden="1">
      <c r="G32" s="6" t="s">
        <v>17</v>
      </c>
      <c r="H32" s="7" t="s">
        <v>13</v>
      </c>
      <c r="I32" s="7" t="s">
        <v>14</v>
      </c>
      <c r="J32" s="8" t="s">
        <v>18</v>
      </c>
    </row>
    <row r="33" spans="2:10" hidden="1">
      <c r="B33" s="29"/>
      <c r="G33" s="9" t="s">
        <v>12</v>
      </c>
      <c r="H33" s="10">
        <f>H24</f>
        <v>91.5</v>
      </c>
      <c r="I33" s="10">
        <f>I24</f>
        <v>91.5</v>
      </c>
      <c r="J33" s="10" t="s">
        <v>19</v>
      </c>
    </row>
    <row r="34" spans="2:10" hidden="1">
      <c r="G34" s="9" t="s">
        <v>0</v>
      </c>
      <c r="H34" s="10">
        <f>B3</f>
        <v>53</v>
      </c>
      <c r="I34" s="10">
        <f>B3</f>
        <v>53</v>
      </c>
      <c r="J34" s="10" t="s">
        <v>19</v>
      </c>
    </row>
    <row r="35" spans="2:10" hidden="1">
      <c r="G35" s="9" t="s">
        <v>22</v>
      </c>
      <c r="H35" s="10">
        <f>H22-H29</f>
        <v>-22.875</v>
      </c>
      <c r="I35" s="10">
        <f>I22-H29</f>
        <v>22.875</v>
      </c>
      <c r="J35" s="10" t="s">
        <v>19</v>
      </c>
    </row>
    <row r="36" spans="2:10" hidden="1">
      <c r="G36" s="9" t="s">
        <v>23</v>
      </c>
      <c r="H36" s="10">
        <f>H23-H30</f>
        <v>22.875</v>
      </c>
      <c r="I36" s="10">
        <f>I23-H30</f>
        <v>-22.875</v>
      </c>
      <c r="J36" s="10" t="s">
        <v>19</v>
      </c>
    </row>
    <row r="37" spans="2:10" hidden="1">
      <c r="G37" s="9" t="s">
        <v>24</v>
      </c>
      <c r="H37" s="10" t="s">
        <v>26</v>
      </c>
      <c r="I37" s="10" t="s">
        <v>25</v>
      </c>
      <c r="J37" s="10" t="s">
        <v>19</v>
      </c>
    </row>
    <row r="38" spans="2:10" hidden="1">
      <c r="G38" s="9" t="s">
        <v>27</v>
      </c>
      <c r="H38" s="10">
        <f>H33*H34*H36^2</f>
        <v>2537576.6484375</v>
      </c>
      <c r="I38" s="10">
        <f>I33*I34^3/12+I34*I33^3/12+I33*I34*I36^2</f>
        <v>7056199.3046875</v>
      </c>
      <c r="J38" s="10">
        <f>SUM(H38:I38)</f>
        <v>9593775.953125</v>
      </c>
    </row>
    <row r="39" spans="2:10" hidden="1">
      <c r="G39" s="9" t="s">
        <v>28</v>
      </c>
      <c r="H39" s="10">
        <f>H33*H34^3/12+H34*H33^3/12+H33*H34*H35^2</f>
        <v>7056199.3046875</v>
      </c>
      <c r="I39" s="10">
        <f>I33*I34*I35^2</f>
        <v>2537576.6484375</v>
      </c>
      <c r="J39" s="10">
        <f>SUM(H39:I39)</f>
        <v>9593775.953125</v>
      </c>
    </row>
    <row r="40" spans="2:10" ht="15.75" hidden="1" thickBot="1">
      <c r="G40" s="13" t="s">
        <v>29</v>
      </c>
      <c r="H40" s="10">
        <f>H33*H34*H35*H36</f>
        <v>-2537576.6484375</v>
      </c>
      <c r="I40" s="10">
        <f t="shared" ref="I40" si="3">I33*I34*I35*I36</f>
        <v>-2537576.6484375</v>
      </c>
      <c r="J40" s="10">
        <f>SUM(H40:I40)</f>
        <v>-5075153.296875</v>
      </c>
    </row>
    <row r="41" spans="2:10" ht="15.75" thickBot="1"/>
    <row r="42" spans="2:10" ht="21">
      <c r="B42" s="59" t="s">
        <v>58</v>
      </c>
      <c r="C42" s="60"/>
      <c r="D42" s="61"/>
    </row>
    <row r="43" spans="2:10" ht="24">
      <c r="B43" s="62" t="s">
        <v>59</v>
      </c>
      <c r="C43" s="63"/>
      <c r="D43" s="64"/>
    </row>
    <row r="44" spans="2:10" ht="24.75" thickBot="1">
      <c r="B44" s="65" t="s">
        <v>60</v>
      </c>
      <c r="C44" s="66"/>
      <c r="D44" s="67"/>
    </row>
  </sheetData>
  <sheetProtection password="CB9C" sheet="1" objects="1" scenarios="1"/>
  <mergeCells count="8">
    <mergeCell ref="A1:B1"/>
    <mergeCell ref="B42:D42"/>
    <mergeCell ref="B43:D43"/>
    <mergeCell ref="B44:D44"/>
    <mergeCell ref="A2:B2"/>
    <mergeCell ref="D2:E2"/>
    <mergeCell ref="C28:C30"/>
    <mergeCell ref="E21:E23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ستون میانی</vt:lpstr>
      <vt:lpstr>ستون کناری (لبه موازی با X)</vt:lpstr>
      <vt:lpstr>ستون کناری (لبه موازی با y)</vt:lpstr>
      <vt:lpstr>ستون گوشه</vt:lpstr>
    </vt:vector>
  </TitlesOfParts>
  <Company>Parand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Parand</dc:creator>
  <cp:lastModifiedBy>Morteza</cp:lastModifiedBy>
  <dcterms:created xsi:type="dcterms:W3CDTF">2013-07-17T08:40:19Z</dcterms:created>
  <dcterms:modified xsi:type="dcterms:W3CDTF">2013-10-09T13:34:35Z</dcterms:modified>
</cp:coreProperties>
</file>